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lrOXoqYLbYNxhLwOZMElMf9ZfNI3+Dtf9hlrHR8G07XU6gn4qxhMidu1mYonA91NXneqqU7GlralUmv2QIpq+w==" workbookSaltValue="lL3O2h/2tSnEFgPd+C7kJ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V9" i="11"/>
  <c r="R10" i="21"/>
  <c r="R13" i="21" s="1"/>
  <c r="R19" i="21" s="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AB13" i="21"/>
  <c r="T9"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BJ11" i="11"/>
  <c r="BM12" i="11"/>
  <c r="BF10" i="11"/>
  <c r="BM16" i="11"/>
  <c r="BH11" i="16"/>
  <c r="AL16" i="11"/>
  <c r="C16" i="6"/>
  <c r="BE9" i="13"/>
  <c r="B9" i="6"/>
  <c r="BJ12" i="11"/>
  <c r="BJ15" i="11"/>
  <c r="BI15" i="11"/>
  <c r="BH9" i="11"/>
  <c r="AP10" i="21"/>
  <c r="BK11" i="11"/>
  <c r="X11" i="17"/>
  <c r="BK9" i="11"/>
  <c r="BK12" i="11"/>
  <c r="P17" i="17"/>
  <c r="BG10" i="11"/>
  <c r="BL9" i="11"/>
  <c r="BF11"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F13" i="8"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<sst xmlns="http://schemas.openxmlformats.org/spreadsheetml/2006/main" count="2102" uniqueCount="918">
  <si>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</si>
  <si>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</si>
  <si>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</si>
  <si>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</si>
  <si>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</si>
  <si>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</si>
  <si>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</si>
  <si>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</si>
  <si>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</si>
  <si>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</si>
  <si>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</si>
  <si>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</si>
  <si>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</si>
  <si>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</si>
  <si>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</si>
  <si>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</si>
  <si>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</si>
  <si>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</si>
  <si>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</si>
  <si>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</si>
  <si>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</si>
  <si>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</si>
  <si>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</si>
  <si>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</si>
  <si>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</si>
  <si>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</si>
  <si>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</si>
  <si>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</si>
  <si>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</si>
  <si>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</si>
  <si>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</si>
  <si>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</si>
  <si>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</si>
  <si>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</si>
  <si>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</si>
  <si>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</si>
  <si>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</si>
  <si>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</si>
  <si>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</si>
  <si>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</si>
  <si>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</si>
  <si>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</si>
  <si>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</si>
  <si>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</si>
  <si>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</si>
  <si>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</si>
  <si>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</si>
  <si>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</si>
  <si>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</si>
  <si>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</si>
  <si>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</si>
  <si>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</si>
  <si>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</si>
  <si>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</si>
  <si>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</si>
  <si>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</si>
  <si>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</si>
  <si>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</si>
  <si>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</si>
  <si>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</si>
  <si>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</si>
  <si>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</si>
  <si>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</si>
  <si>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</si>
  <si>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</si>
  <si>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</si>
  <si>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</si>
  <si>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</si>
  <si>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</si>
  <si>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</si>
  <si>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</si>
  <si>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</si>
  <si>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</si>
  <si>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</si>
  <si>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</si>
  <si>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</si>
  <si>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</si>
  <si>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</si>
  <si>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</si>
  <si>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</si>
  <si>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</si>
  <si>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</si>
  <si>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</si>
  <si>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</si>
  <si>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</si>
  <si>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</si>
  <si>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</si>
  <si>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</si>
  <si>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</si>
  <si>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</si>
  <si>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</si>
  <si>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</si>
  <si>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</si>
  <si>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</si>
  <si>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</si>
  <si>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</si>
  <si>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</si>
  <si>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</si>
  <si>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</si>
  <si>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</si>
  <si>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</si>
  <si>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</si>
  <si>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</si>
  <si>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</si>
  <si>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</si>
  <si>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</si>
  <si>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</si>
  <si>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</si>
  <si>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</si>
  <si>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</si>
  <si>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</si>
  <si>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</si>
  <si>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</si>
  <si>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</si>
  <si>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</si>
  <si>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</si>
  <si>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</si>
  <si>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</si>
  <si>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</si>
  <si>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</si>
  <si>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</si>
  <si>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</si>
  <si>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</si>
  <si>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</si>
  <si>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</si>
  <si>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</si>
  <si>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</si>
  <si>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</si>
  <si>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</si>
  <si>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</si>
  <si>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</si>
  <si>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</si>
  <si>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</si>
  <si>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</si>
  <si>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</si>
  <si>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</si>
  <si>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</si>
  <si>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</si>
  <si>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</si>
  <si>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</si>
  <si>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</si>
  <si>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</si>
  <si>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</si>
  <si>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</si>
  <si>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</si>
  <si>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</si>
  <si>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</si>
  <si>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</si>
  <si>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</si>
  <si>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</si>
  <si>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</si>
  <si>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</si>
  <si>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</si>
  <si>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</si>
  <si>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</si>
  <si>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</si>
  <si>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</si>
  <si>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</si>
  <si>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</si>
  <si>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</si>
  <si>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</si>
  <si>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</si>
  <si>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</si>
  <si>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</si>
  <si>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</si>
  <si>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</si>
  <si>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</si>
  <si>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</si>
  <si>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</si>
  <si>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</si>
  <si>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</si>
  <si>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</si>
  <si>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</si>
  <si>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</si>
  <si>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</si>
  <si>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</si>
  <si>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</si>
  <si>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</si>
  <si>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</si>
  <si>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</si>
  <si>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</si>
  <si>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</si>
  <si>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</si>
  <si>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</si>
  <si>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</si>
  <si>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</si>
  <si>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</si>
  <si>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</si>
  <si>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</si>
  <si>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</si>
  <si>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</si>
  <si>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</si>
  <si>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</si>
  <si>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</si>
  <si>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</si>
  <si>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</si>
  <si>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</si>
  <si>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</si>
  <si>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</si>
  <si>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</si>
  <si>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</si>
  <si>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</si>
  <si>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</si>
  <si>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</si>
  <si>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</si>
  <si>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</si>
  <si>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</si>
  <si>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</si>
  <si>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</si>
  <si>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</si>
  <si>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</si>
  <si>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</si>
  <si>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</si>
  <si>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</si>
  <si>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</si>
  <si>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</si>
  <si>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</si>
  <si>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</si>
  <si>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</si>
  <si>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</si>
  <si>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</si>
  <si>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</si>
  <si>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</si>
  <si>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</si>
  <si>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</si>
  <si>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</si>
  <si>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</si>
  <si>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</si>
  <si>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</si>
  <si>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</si>
  <si>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</si>
  <si>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</si>
  <si>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</si>
  <si>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</si>
  <si>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</si>
  <si>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</si>
  <si>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</si>
  <si>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</si>
  <si>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</si>
  <si>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</si>
  <si>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</si>
  <si>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</si>
  <si>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</si>
  <si>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</si>
  <si>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</si>
  <si>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</si>
  <si>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</si>
  <si>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</si>
  <si>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</si>
  <si>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</si>
  <si>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</si>
  <si>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</si>
  <si>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</si>
  <si>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</si>
  <si>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</si>
  <si>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</si>
  <si>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</si>
  <si>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</si>
  <si>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</si>
  <si>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</si>
  <si>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</si>
  <si>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</si>
  <si>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</si>
  <si>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</si>
  <si>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</si>
  <si>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</si>
  <si>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</si>
  <si>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</si>
  <si>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</si>
  <si>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</si>
  <si>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</si>
  <si>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</si>
  <si>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</si>
  <si>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</si>
  <si>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</si>
  <si>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</si>
  <si>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</si>
  <si>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</si>
  <si>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</si>
  <si>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</si>
  <si>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</si>
  <si>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</si>
  <si>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</si>
  <si>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</si>
  <si>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</si>
  <si>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</si>
  <si>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</si>
  <si>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</si>
  <si>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</si>
  <si>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</si>
  <si>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</si>
  <si>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</si>
  <si>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</si>
  <si>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</si>
  <si>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</si>
  <si>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</si>
  <si>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</si>
  <si>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</si>
  <si>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</si>
  <si>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</si>
  <si>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</si>
  <si>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</si>
  <si>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</si>
  <si>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</si>
  <si>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</si>
  <si>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</si>
  <si>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</si>
  <si>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</si>
  <si>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</si>
  <si>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</si>
  <si>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</si>
  <si>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</si>
  <si>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</si>
  <si>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</si>
  <si>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</si>
  <si>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</si>
  <si>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</si>
  <si>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</si>
  <si>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</si>
  <si>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</si>
  <si>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</si>
  <si>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</si>
  <si>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</si>
  <si>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</si>
  <si>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</si>
  <si>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</si>
  <si>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</si>
  <si>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</si>
  <si>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</si>
  <si>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</si>
  <si>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</si>
  <si>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</si>
  <si>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</si>
  <si>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</si>
  <si>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</si>
  <si>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</si>
  <si>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</si>
  <si>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</si>
  <si>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</si>
  <si>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</si>
  <si>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</si>
  <si>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</si>
  <si>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</si>
  <si>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</si>
  <si>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</si>
  <si>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</si>
  <si>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</si>
  <si>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</si>
  <si>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</si>
  <si>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</si>
  <si>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</si>
  <si>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</si>
  <si>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</si>
  <si>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</si>
  <si>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</si>
  <si>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</si>
  <si>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</si>
  <si>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</si>
  <si>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</si>
  <si>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</si>
  <si>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</si>
  <si>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</si>
  <si>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</si>
  <si>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</si>
  <si>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</si>
  <si>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</si>
  <si>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</si>
  <si>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</si>
  <si>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</si>
  <si>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</si>
  <si>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</si>
  <si>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</si>
  <si>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</si>
  <si>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</si>
  <si>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</si>
  <si>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</si>
  <si>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</si>
  <si>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</si>
  <si>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</si>
  <si>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</si>
  <si>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</si>
  <si>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</si>
  <si>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</si>
  <si>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</si>
  <si>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</si>
  <si>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</si>
  <si>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</si>
  <si>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</si>
  <si>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</si>
  <si>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</si>
  <si>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</si>
  <si>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</si>
  <si>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</si>
  <si>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</si>
  <si>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</si>
  <si>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</si>
  <si>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</si>
  <si>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</si>
  <si>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</si>
  <si>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</si>
  <si>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</si>
  <si>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</si>
  <si>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</si>
  <si>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</si>
  <si>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</si>
  <si>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</si>
  <si>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</si>
  <si>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</si>
  <si>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</si>
  <si>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</si>
  <si>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</si>
  <si>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</si>
  <si>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</si>
  <si>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</si>
  <si>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</si>
  <si>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</si>
  <si>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</si>
  <si>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</si>
  <si>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</si>
  <si>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</si>
  <si>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</si>
  <si>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</si>
  <si>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</si>
  <si>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</si>
  <si>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</si>
  <si>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</si>
  <si>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</si>
  <si>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</si>
  <si>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</si>
  <si>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</si>
  <si>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</si>
  <si>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</si>
  <si>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</si>
  <si>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</si>
  <si>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</si>
  <si>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</si>
  <si>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</si>
  <si>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</si>
  <si>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</si>
  <si>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</si>
  <si>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</si>
  <si>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</si>
  <si>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</si>
  <si>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</si>
  <si>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</si>
  <si>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</si>
  <si>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</si>
  <si>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</si>
  <si>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</si>
  <si>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</si>
  <si>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</si>
  <si>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</si>
  <si>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</si>
  <si>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</si>
  <si>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</si>
  <si>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</si>
  <si>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</si>
  <si>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</si>
  <si>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</si>
  <si>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</si>
  <si>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</si>
  <si>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</si>
  <si>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</si>
  <si>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</si>
  <si>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</si>
  <si>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</si>
  <si>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</si>
  <si>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</si>
  <si>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</si>
  <si>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</si>
  <si>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</si>
  <si>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</si>
  <si>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</si>
  <si>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</si>
  <si>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</si>
  <si>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</si>
  <si>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</si>
  <si>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</si>
  <si>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</si>
  <si>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</si>
  <si>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</si>
  <si>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</si>
  <si>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</si>
  <si>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</si>
  <si>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</si>
  <si>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</si>
  <si>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</si>
  <si>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</si>
  <si>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</si>
  <si>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</si>
  <si>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</si>
  <si>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</si>
  <si>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</si>
  <si>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</si>
  <si>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</si>
  <si>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</si>
  <si>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</si>
  <si>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</si>
  <si>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</si>
  <si>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</si>
  <si>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</si>
  <si>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</si>
  <si>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</si>
  <si>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</si>
  <si>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</si>
  <si>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</si>
  <si>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</si>
  <si>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</si>
  <si>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</si>
  <si>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</si>
  <si>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</si>
  <si>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</si>
  <si>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</si>
  <si>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</si>
  <si>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</si>
  <si>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</si>
  <si>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</si>
  <si>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</si>
  <si>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</si>
  <si>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</si>
  <si>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</si>
  <si>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</si>
  <si>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</si>
  <si>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</si>
  <si>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</si>
  <si>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</si>
  <si>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</si>
  <si>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</si>
  <si>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</si>
  <si>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</si>
  <si>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</si>
  <si>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</si>
  <si>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</si>
  <si>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</si>
  <si>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</si>
  <si>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</si>
  <si>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</si>
  <si>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</si>
  <si>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</si>
  <si>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</si>
  <si>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</si>
  <si>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</si>
  <si>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</si>
  <si>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</si>
  <si>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</si>
  <si>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</si>
  <si>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</si>
  <si>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</si>
  <si>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</si>
  <si>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</si>
  <si>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</si>
  <si>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</si>
  <si>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</si>
  <si>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</si>
  <si>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</si>
  <si>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</si>
  <si>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</si>
  <si>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</si>
  <si>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</si>
  <si>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</si>
  <si>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</si>
  <si>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</si>
  <si>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</si>
  <si>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</si>
  <si>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</si>
  <si>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</si>
  <si>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</si>
  <si>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</si>
  <si>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</si>
  <si>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</si>
  <si>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</si>
  <si>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</si>
  <si>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</si>
  <si>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</si>
  <si>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</si>
  <si>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</si>
  <si>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</si>
  <si>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</si>
  <si>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</si>
  <si>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</si>
  <si>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</si>
  <si>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</si>
  <si>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</si>
  <si>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</si>
  <si>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</si>
  <si>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</si>
  <si>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</si>
  <si>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</si>
  <si>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</si>
  <si>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</si>
  <si>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</si>
  <si>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</si>
  <si>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</si>
  <si>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</si>
  <si>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</si>
  <si>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</si>
  <si>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</si>
  <si>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</si>
  <si>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</si>
  <si>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</si>
  <si>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</si>
  <si>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</si>
  <si>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</si>
  <si>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</si>
  <si>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</si>
  <si>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</si>
  <si>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</si>
  <si>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</si>
  <si>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</si>
  <si>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</si>
  <si>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</si>
  <si>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</si>
  <si>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</si>
  <si>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</si>
  <si>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</si>
  <si>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</si>
  <si>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</si>
  <si>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</si>
  <si>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</si>
  <si>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</si>
  <si>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</si>
  <si>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</si>
  <si>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</si>
  <si>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</si>
  <si>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</si>
  <si>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</si>
  <si>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</si>
  <si>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</si>
  <si>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</si>
  <si>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</si>
  <si>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</si>
  <si>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</si>
  <si>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</si>
  <si>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</si>
  <si>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</si>
  <si>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</si>
  <si>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</si>
  <si>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</si>
  <si>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</si>
  <si>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</si>
  <si>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</si>
  <si>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</si>
  <si>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</si>
  <si>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</si>
  <si>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</si>
  <si>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</si>
  <si>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</si>
  <si>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</si>
  <si>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</si>
  <si>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</si>
  <si>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</si>
  <si>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</si>
  <si>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</si>
  <si>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</si>
  <si>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</si>
  <si>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</si>
  <si>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</si>
  <si>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</si>
  <si>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</si>
  <si>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</si>
  <si>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</si>
  <si>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</si>
  <si>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</si>
  <si>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</si>
  <si>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</si>
  <si>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</si>
  <si>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</si>
  <si>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</si>
  <si>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</si>
  <si>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</si>
  <si>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</si>
  <si>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</si>
  <si>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</si>
  <si>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</si>
  <si>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</si>
  <si>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</si>
  <si>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</si>
  <si>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</si>
  <si>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</si>
  <si>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</si>
  <si>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</si>
  <si>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</si>
  <si>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</si>
  <si>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</si>
  <si>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</si>
  <si>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</si>
  <si>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</si>
  <si>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</si>
  <si>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</si>
  <si>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</si>
  <si>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</si>
  <si>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</si>
  <si>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</si>
  <si>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</si>
  <si>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</si>
  <si>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</si>
  <si>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</si>
  <si>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</si>
  <si>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</si>
  <si>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</si>
  <si>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</si>
  <si>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</si>
  <si>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</si>
  <si>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</si>
  <si>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</si>
  <si>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</si>
  <si>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</si>
  <si>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</si>
  <si>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</si>
  <si>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</si>
  <si>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</si>
  <si>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</si>
  <si>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</si>
  <si>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</si>
  <si>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</si>
  <si>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</si>
  <si>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</si>
  <si>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</si>
  <si>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</si>
  <si>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</si>
  <si>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</si>
  <si>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</si>
  <si>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</si>
  <si>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</si>
  <si>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</si>
  <si>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</si>
  <si>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</si>
  <si>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</si>
  <si>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</si>
  <si>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</si>
  <si>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</si>
  <si>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</si>
  <si>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</si>
  <si>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</si>
  <si>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</si>
  <si>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</si>
  <si>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</si>
  <si>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</si>
  <si>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</si>
  <si>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</si>
  <si>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</si>
  <si>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</si>
  <si>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</si>
  <si>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</si>
  <si>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</si>
  <si>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</si>
  <si>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</si>
  <si>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</si>
  <si>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</si>
  <si>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</si>
  <si>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</si>
  <si>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</si>
  <si>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</si>
  <si>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</si>
  <si>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</si>
  <si>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</si>
  <si>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</si>
  <si>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</si>
  <si>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</si>
  <si>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</si>
  <si>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</si>
  <si>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</si>
  <si>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</si>
  <si>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</si>
  <si>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</si>
  <si>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</si>
  <si>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</si>
  <si>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</si>
  <si>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</si>
  <si>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</si>
  <si>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</si>
  <si>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</si>
  <si>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</si>
  <si>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</si>
  <si>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</si>
  <si>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</si>
  <si>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</si>
  <si>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</si>
  <si>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</si>
  <si>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</si>
  <si>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</si>
  <si>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</si>
  <si>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</si>
  <si>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</si>
  <si>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</si>
  <si>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</si>
  <si>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</si>
  <si>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</si>
  <si>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</si>
  <si>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</si>
  <si>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</si>
  <si>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</si>
  <si>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</si>
  <si>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</si>
  <si>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</si>
  <si>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</si>
  <si>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</si>
  <si>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</si>
  <si>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</si>
  <si>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</si>
  <si>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</si>
  <si>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</si>
  <si>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</si>
  <si>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</si>
  <si>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</si>
  <si>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</si>
  <si>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</si>
  <si>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</si>
  <si>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</si>
  <si>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</si>
  <si>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</si>
  <si>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</si>
  <si>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</si>
  <si>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</si>
  <si>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</si>
  <si>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</si>
  <si>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</si>
  <si>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</si>
  <si>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</si>
  <si>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</si>
  <si>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</si>
  <si>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</si>
  <si>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</si>
  <si>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</si>
  <si>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</si>
  <si>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</si>
  <si>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</si>
  <si>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</si>
  <si>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</si>
  <si>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</si>
  <si>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</si>
  <si>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</si>
  <si>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</si>
  <si>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</si>
  <si>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</si>
  <si>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</si>
  <si>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</si>
  <si>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</si>
  <si>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</si>
  <si>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</si>
  <si>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</si>
  <si>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</si>
  <si>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</si>
  <si>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</si>
  <si>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</si>
  <si>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</si>
  <si>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</si>
  <si>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</si>
  <si>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</si>
  <si>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</si>
  <si>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</si>
  <si>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</si>
  <si>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</si>
  <si>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</si>
  <si>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</si>
  <si>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</si>
  <si>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</si>
  <si>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</si>
  <si>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</si>
  <si>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</si>
  <si>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</si>
  <si>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</si>
  <si>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</si>
  <si>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</si>
  <si>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</si>
  <si>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</si>
  <si>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</si>
  <si>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</si>
  <si>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</si>
  <si>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</si>
  <si>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</si>
  <si>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</si>
  <si>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</si>
  <si>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</si>
  <si>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</si>
  <si>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</si>
  <si>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</si>
  <si>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</si>
  <si>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</si>
  <si>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</si>
  <si>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</si>
  <si>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</si>
  <si>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</si>
  <si>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</si>
  <si>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</si>
  <si>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</si>
  <si>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</si>
  <si>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</si>
  <si>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</si>
  <si>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</si>
  <si>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</si>
  <si>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</si>
  <si>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</si>
  <si>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</si>
  <si>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</si>
  <si>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</si>
  <si>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</si>
  <si>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</si>
  <si>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</si>
  <si>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</si>
  <si>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</si>
  <si>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</si>
  <si>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</si>
  <si>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</si>
  <si>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</si>
  <si>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</si>
  <si>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</si>
  <si>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</si>
  <si>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</si>
  <si>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</si>
  <si>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</si>
  <si>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</si>
  <si>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</si>
  <si>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CANARIAS</t>
  </si>
  <si>
    <t>Provincias</t>
  </si>
  <si>
    <t>SANTA CRUZ DE TENERIFE</t>
  </si>
  <si>
    <t>Resumenes por Partidos Judiciales</t>
  </si>
  <si>
    <t>ICOD DE LOS VINOS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</si>
</sst>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lYZhH6BY9LxspEJxAbB9s2sV9DKUdf7ly+T4Y11hcHNCe5K766O05cSWQ1BykHaACWS47VnYzNza+ZgCakSDQ==" saltValue="bvRqxpkMvXYRhKRMzJrx0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9</v>
      </c>
      <c r="F10" s="226">
        <f>IF(ISNUMBER(Datos!K10),Datos!K10," - ")</f>
        <v>3</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0.46153846153846156</v>
      </c>
      <c r="L10" s="1025">
        <f>IF(ISNUMBER(NºAsuntos!I10/NºAsuntos!G10),(NºAsuntos!I10/NºAsuntos!G10)*11," - ")</f>
        <v>69.666666666666657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40.172866520787743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9</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898</v>
      </c>
      <c r="D16" s="225">
        <f>IF(ISNUMBER(IF(D_I="SI",Datos!I16,Datos!I16+Datos!AC16)),IF(D_I="SI",Datos!I16,Datos!I16+Datos!AC16)," - ")</f>
        <v>895</v>
      </c>
      <c r="E16" s="226">
        <f>IF(ISNUMBER(IF(D_I="SI",Datos!J16,Datos!J16+Datos!AD16)),IF(D_I="SI",Datos!J16,Datos!J16+Datos!AD16)," - ")</f>
        <v>575</v>
      </c>
      <c r="F16" s="226">
        <f>IF(ISNUMBER(IF(D_I="SI",Datos!K16,Datos!K16+Datos!AE16)),IF(D_I="SI",Datos!K16,Datos!K16+Datos!AE16)," - ")</f>
        <v>534</v>
      </c>
      <c r="G16" s="1034" t="str">
        <f>IF(Datos!E16&lt;&gt;"",Datos!E16,Datos!D16)</f>
        <v>04</v>
      </c>
      <c r="H16" s="227">
        <f>IF(ISNUMBER(IF(D_I="SI",Datos!L16,Datos!L16+Datos!AF16)),IF(D_I="SI",Datos!L16,Datos!L16+Datos!AF16)," - ")</f>
        <v>939</v>
      </c>
      <c r="I16" s="1044" t="str">
        <f>IF(ISNUMBER(Datos!AS16/Datos!BM16),Datos!AS16/Datos!BM16," - ")</f>
        <v xml:space="preserve"> - </v>
      </c>
      <c r="J16" s="1045">
        <f>IF(ISNUMBER(Datos!BY16/Datos!CN16),Datos!BY16/Datos!CN16," - ")</f>
        <v>0</v>
      </c>
      <c r="K16" s="230">
        <f t="shared" si="3"/>
        <v>4.5657015590200446E-2</v>
      </c>
      <c r="L16" s="1025">
        <f>IF(ISNUMBER(NºAsuntos!I16/NºAsuntos!G16),(NºAsuntos!I16/NºAsuntos!G16)*11," - ")</f>
        <v>19.342696629213481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63</v>
      </c>
      <c r="D17" s="225">
        <f>IF(ISNUMBER(IF(D_I="SI",Datos!I17,Datos!I17+Datos!AC17)),IF(D_I="SI",Datos!I17,Datos!I17+Datos!AC17)," - ")</f>
        <v>61</v>
      </c>
      <c r="E17" s="226">
        <f>IF(ISNUMBER(IF(D_I="SI",Datos!J17,Datos!J17+Datos!AD17)),IF(D_I="SI",Datos!J17,Datos!J17+Datos!AD17)," - ")</f>
        <v>34</v>
      </c>
      <c r="F17" s="226">
        <f>IF(ISNUMBER(IF(D_I="SI",Datos!K17,Datos!K17+Datos!AE17)),IF(D_I="SI",Datos!K17,Datos!K17+Datos!AE17)," - ")</f>
        <v>38</v>
      </c>
      <c r="G17" s="1034" t="str">
        <f>IF(Datos!E17&lt;&gt;"",Datos!E17,Datos!D17)</f>
        <v>37</v>
      </c>
      <c r="H17" s="227">
        <f>IF(ISNUMBER(IF(D_I="SI",Datos!L17,Datos!L17+Datos!AF17)),IF(D_I="SI",Datos!L17,Datos!L17+Datos!AF17)," - ")</f>
        <v>59</v>
      </c>
      <c r="I17" s="1044" t="str">
        <f>IF(ISNUMBER(Datos!AS17/Datos!BM17),Datos!AS17/Datos!BM17," - ")</f>
        <v xml:space="preserve"> - </v>
      </c>
      <c r="J17" s="1045" t="str">
        <f>IF(ISNUMBER((Datos!BY17+Datos!BZ17)/Datos!CN17),(Datos!BY17+Datos!BZ17)/Datos!CN17," - ")</f>
        <v xml:space="preserve"> - </v>
      </c>
      <c r="K17" s="230">
        <f t="shared" si="3"/>
        <v>-6.3492063492063489E-2</v>
      </c>
      <c r="L17" s="1025">
        <f>IF(ISNUMBER(NºAsuntos!I17/NºAsuntos!G17),(NºAsuntos!I17/NºAsuntos!G17)*11," - ")</f>
        <v>17.078947368421051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961</v>
      </c>
      <c r="D18" s="1049">
        <f>SUBTOTAL(9,D15:D17)</f>
        <v>956</v>
      </c>
      <c r="E18" s="1050">
        <f>SUBTOTAL(9,E15:E17)</f>
        <v>609</v>
      </c>
      <c r="F18" s="1050">
        <f>SUBTOTAL(9,F15:F17)</f>
        <v>572</v>
      </c>
      <c r="G18" s="1052" t="str">
        <f ca="1">INDIRECT(CONCATENATE("G",ROW()-1))</f>
        <v>37</v>
      </c>
      <c r="H18" s="1053">
        <f ca="1">SUMIF(G$14:G17,G18,H$14:H17)</f>
        <v>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974</v>
      </c>
      <c r="D19" s="1071">
        <f>SUBTOTAL(9,D9:D18)</f>
        <v>969</v>
      </c>
      <c r="E19" s="1072">
        <f>SUBTOTAL(9,E9:E18)</f>
        <v>618</v>
      </c>
      <c r="F19" s="1072">
        <f>SUBTOTAL(9,F9:F18)</f>
        <v>575</v>
      </c>
      <c r="G19" s="1073"/>
      <c r="H19" s="1074">
        <f ca="1">SUMIF(B9:B18,"TOTAL",H9:H18)</f>
        <v>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LsLqIdoNp54vWB64o6edFoNzFStfX+xCAMV1KNtS8cRwJtbWjJshMOjo3luTGgS/+88HFzCyKcsKRXlJohMcA==" saltValue="LQPuXTIuU+SPHvTVNUzV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fLnw8Gau8L61nTNpye6pig/EilVw56NdfC0YdsQTntJrBQkgPWe+ebypx4on9eL4JpMQMK1cT2oaQi/2OQTZA==" saltValue="xSf5gqmf+hyviNXYLW4d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9</v>
      </c>
      <c r="K10" s="181">
        <v>3</v>
      </c>
      <c r="L10" s="181">
        <v>19</v>
      </c>
      <c r="M10" s="181">
        <v>3</v>
      </c>
      <c r="N10" s="181">
        <v>0</v>
      </c>
      <c r="O10" s="181">
        <v>0</v>
      </c>
      <c r="P10" s="181">
        <v>2</v>
      </c>
      <c r="Q10" s="181">
        <v>0</v>
      </c>
      <c r="R10" s="181">
        <v>11</v>
      </c>
      <c r="S10" s="181">
        <v>13</v>
      </c>
      <c r="T10" s="181">
        <v>5</v>
      </c>
      <c r="U10" s="181">
        <v>5</v>
      </c>
      <c r="V10" s="181">
        <v>13</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5</v>
      </c>
      <c r="BA10" s="129">
        <f t="shared" si="0"/>
        <v>5</v>
      </c>
      <c r="BB10" s="129">
        <f t="shared" si="0"/>
        <v>13</v>
      </c>
      <c r="BC10" s="125">
        <f t="shared" si="0"/>
        <v>3</v>
      </c>
      <c r="BD10" s="126">
        <f>IF(ISNUMBER(BA10/AZ10),BA10/AZ10," - ")</f>
        <v>1</v>
      </c>
      <c r="BE10" s="127">
        <f>IF(ISNUMBER(BB10/BA10),BB10/BA10, " - ")</f>
        <v>2.6</v>
      </c>
      <c r="BF10" s="127">
        <f>IF(ISNUMBER(BC10/BA10),BC10/BA10, " - ")</f>
        <v>0.6</v>
      </c>
      <c r="BG10" s="196">
        <f>IF(ISNUMBER((AY10+AZ10)/BA10),(AY10+AZ10)/BA10," - ")</f>
        <v>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1315</v>
      </c>
      <c r="J12" s="183">
        <v>689</v>
      </c>
      <c r="K12" s="183">
        <v>430</v>
      </c>
      <c r="L12" s="183">
        <v>1574</v>
      </c>
      <c r="M12" s="183">
        <v>43</v>
      </c>
      <c r="N12" s="183">
        <v>160</v>
      </c>
      <c r="O12" s="181">
        <v>199</v>
      </c>
      <c r="P12" s="183">
        <v>109</v>
      </c>
      <c r="Q12" s="183">
        <v>56</v>
      </c>
      <c r="R12" s="183">
        <v>1778</v>
      </c>
      <c r="S12" s="183">
        <v>1142</v>
      </c>
      <c r="T12" s="183">
        <v>440</v>
      </c>
      <c r="U12" s="183">
        <v>416</v>
      </c>
      <c r="V12" s="183">
        <v>1080</v>
      </c>
      <c r="W12" s="183">
        <v>86</v>
      </c>
      <c r="X12" s="189">
        <v>210</v>
      </c>
      <c r="Y12" s="191">
        <v>98</v>
      </c>
      <c r="Z12" s="181">
        <v>24</v>
      </c>
      <c r="AA12" s="181">
        <v>27</v>
      </c>
      <c r="AB12" s="181">
        <v>95</v>
      </c>
      <c r="AC12" s="183">
        <v>0</v>
      </c>
      <c r="AD12" s="183">
        <v>0</v>
      </c>
      <c r="AE12" s="183">
        <v>0</v>
      </c>
      <c r="AF12" s="189">
        <v>0</v>
      </c>
      <c r="AG12" s="202">
        <v>94</v>
      </c>
      <c r="AH12" s="183">
        <v>19</v>
      </c>
      <c r="AI12" s="183">
        <v>28</v>
      </c>
      <c r="AJ12" s="203">
        <v>118</v>
      </c>
      <c r="AK12" s="182">
        <v>0</v>
      </c>
      <c r="AL12" s="183">
        <v>0</v>
      </c>
      <c r="AM12" s="183">
        <v>0</v>
      </c>
      <c r="AN12" s="189">
        <v>0</v>
      </c>
      <c r="AO12" s="259">
        <v>2</v>
      </c>
      <c r="AP12" s="155">
        <v>2</v>
      </c>
      <c r="AQ12" s="155">
        <v>2</v>
      </c>
      <c r="AR12" s="154">
        <v>2</v>
      </c>
      <c r="AS12" s="340" t="s">
        <v>802</v>
      </c>
      <c r="AT12" s="203"/>
      <c r="AU12" s="202"/>
      <c r="AV12" s="203"/>
      <c r="AW12" s="202"/>
      <c r="AX12" s="203"/>
      <c r="AY12" s="126">
        <f t="shared" si="1"/>
        <v>1236</v>
      </c>
      <c r="AZ12" s="127">
        <f t="shared" si="1"/>
        <v>459</v>
      </c>
      <c r="BA12" s="127">
        <f t="shared" si="1"/>
        <v>444</v>
      </c>
      <c r="BB12" s="127">
        <f t="shared" si="1"/>
        <v>1198</v>
      </c>
      <c r="BC12" s="125">
        <f>IF(ISNUMBER(X12),X12," - ")</f>
        <v>210</v>
      </c>
      <c r="BD12" s="126">
        <f t="shared" si="2"/>
        <v>0.9673202614379085</v>
      </c>
      <c r="BE12" s="127">
        <f t="shared" si="3"/>
        <v>2.6981981981981984</v>
      </c>
      <c r="BF12" s="127">
        <f t="shared" si="4"/>
        <v>0.47297297297297297</v>
      </c>
      <c r="BG12" s="196">
        <f t="shared" si="5"/>
        <v>3.8175675675675675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1328</v>
      </c>
      <c r="J13" s="184">
        <f t="shared" si="6"/>
        <v>698</v>
      </c>
      <c r="K13" s="184">
        <f t="shared" si="6"/>
        <v>433</v>
      </c>
      <c r="L13" s="184">
        <f t="shared" si="6"/>
        <v>1593</v>
      </c>
      <c r="M13" s="184">
        <f t="shared" si="6"/>
        <v>46</v>
      </c>
      <c r="N13" s="184">
        <f t="shared" si="6"/>
        <v>160</v>
      </c>
      <c r="O13" s="184">
        <f t="shared" si="6"/>
        <v>199</v>
      </c>
      <c r="P13" s="184">
        <f t="shared" si="6"/>
        <v>111</v>
      </c>
      <c r="Q13" s="184">
        <f t="shared" si="6"/>
        <v>56</v>
      </c>
      <c r="R13" s="184">
        <f t="shared" si="6"/>
        <v>1789</v>
      </c>
      <c r="S13" s="184">
        <f t="shared" si="6"/>
        <v>1155</v>
      </c>
      <c r="T13" s="184">
        <f t="shared" si="6"/>
        <v>445</v>
      </c>
      <c r="U13" s="184">
        <f t="shared" si="6"/>
        <v>421</v>
      </c>
      <c r="V13" s="184">
        <f t="shared" si="6"/>
        <v>1093</v>
      </c>
      <c r="W13" s="184">
        <f t="shared" si="6"/>
        <v>89</v>
      </c>
      <c r="X13" s="184">
        <f t="shared" si="6"/>
        <v>210</v>
      </c>
      <c r="Y13" s="184">
        <f t="shared" si="6"/>
        <v>98</v>
      </c>
      <c r="Z13" s="184">
        <f t="shared" si="6"/>
        <v>24</v>
      </c>
      <c r="AA13" s="184">
        <f t="shared" si="6"/>
        <v>27</v>
      </c>
      <c r="AB13" s="184">
        <f t="shared" si="6"/>
        <v>95</v>
      </c>
      <c r="AC13" s="184">
        <f t="shared" si="6"/>
        <v>0</v>
      </c>
      <c r="AD13" s="184">
        <f t="shared" si="6"/>
        <v>0</v>
      </c>
      <c r="AE13" s="184">
        <f t="shared" si="6"/>
        <v>0</v>
      </c>
      <c r="AF13" s="184">
        <f>SUBTOTAL(9,AF9:AF12)</f>
        <v>0</v>
      </c>
      <c r="AG13" s="184">
        <f t="shared" ref="AG13:AT13" si="7">SUBTOTAL(9,AG8:AG12)</f>
        <v>94</v>
      </c>
      <c r="AH13" s="184">
        <f t="shared" si="7"/>
        <v>19</v>
      </c>
      <c r="AI13" s="184">
        <f t="shared" si="7"/>
        <v>28</v>
      </c>
      <c r="AJ13" s="184">
        <f t="shared" si="7"/>
        <v>118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1249</v>
      </c>
      <c r="AZ13" s="184">
        <f>SUBTOTAL(9,AZ8:AZ12)</f>
        <v>464</v>
      </c>
      <c r="BA13" s="184">
        <f>SUBTOTAL(9,BA8:BA12)</f>
        <v>449</v>
      </c>
      <c r="BB13" s="184">
        <f>SUBTOTAL(9,BB8:BB12)</f>
        <v>1211</v>
      </c>
      <c r="BC13" s="184">
        <f>SUBTOTAL(9,BC8:BC12)</f>
        <v>213</v>
      </c>
      <c r="BD13" s="205">
        <f>IF(ISNUMBER(BA13/AZ13),BA13/AZ13," - ")</f>
        <v>0.96767241379310343</v>
      </c>
      <c r="BE13" s="206">
        <f>IF(ISNUMBER(BB13/BA13),BB13/BA13, " - ")</f>
        <v>2.6971046770601337</v>
      </c>
      <c r="BF13" s="206">
        <f>IF(ISNUMBER(BC13/BA13),BC13/BA13, " - ")</f>
        <v>0.47438752783964366</v>
      </c>
      <c r="BG13" s="207">
        <f>IF(ISNUMBER((AY13+AZ13)/BA13),(AY13+AZ13)/BA13," - ")</f>
        <v>3.8151447661469935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895</v>
      </c>
      <c r="J16" s="183">
        <v>575</v>
      </c>
      <c r="K16" s="183">
        <v>534</v>
      </c>
      <c r="L16" s="183">
        <v>939</v>
      </c>
      <c r="M16" s="183">
        <v>44</v>
      </c>
      <c r="N16" s="183">
        <v>419</v>
      </c>
      <c r="O16" s="181">
        <v>7</v>
      </c>
      <c r="P16" s="183">
        <v>3</v>
      </c>
      <c r="Q16" s="183">
        <v>12</v>
      </c>
      <c r="R16" s="183">
        <v>196</v>
      </c>
      <c r="S16" s="183">
        <v>624</v>
      </c>
      <c r="T16" s="183">
        <v>596</v>
      </c>
      <c r="U16" s="183">
        <v>503</v>
      </c>
      <c r="V16" s="183">
        <v>693</v>
      </c>
      <c r="W16" s="183">
        <v>75</v>
      </c>
      <c r="X16" s="189">
        <v>364</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624</v>
      </c>
      <c r="AZ16" s="127">
        <f t="shared" si="9"/>
        <v>596</v>
      </c>
      <c r="BA16" s="127">
        <f t="shared" si="9"/>
        <v>503</v>
      </c>
      <c r="BB16" s="127">
        <f t="shared" si="9"/>
        <v>693</v>
      </c>
      <c r="BC16" s="125">
        <f>IF(ISNUMBER(W16),W16," - ")</f>
        <v>75</v>
      </c>
      <c r="BD16" s="126">
        <f t="shared" ref="BD16" si="11">IF(ISNUMBER(BA16/AZ16),BA16/AZ16," - ")</f>
        <v>0.84395973154362414</v>
      </c>
      <c r="BE16" s="127">
        <f t="shared" ref="BE16" si="12">IF(ISNUMBER(BB16/BA16),BB16/BA16, " - ")</f>
        <v>1.3777335984095427</v>
      </c>
      <c r="BF16" s="127">
        <f t="shared" ref="BF16" si="13">IF(ISNUMBER(BC16/BA16),BC16/BA16, " - ")</f>
        <v>0.14910536779324055</v>
      </c>
      <c r="BG16" s="196">
        <f t="shared" si="10"/>
        <v>2.4254473161033796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v>
      </c>
      <c r="J17" s="183">
        <v>34</v>
      </c>
      <c r="K17" s="183">
        <v>38</v>
      </c>
      <c r="L17" s="183">
        <v>59</v>
      </c>
      <c r="M17" s="183">
        <v>6</v>
      </c>
      <c r="N17" s="183">
        <v>42</v>
      </c>
      <c r="O17" s="183">
        <v>0</v>
      </c>
      <c r="P17" s="183">
        <v>2</v>
      </c>
      <c r="Q17" s="183">
        <v>0</v>
      </c>
      <c r="R17" s="183">
        <v>8</v>
      </c>
      <c r="S17" s="183">
        <v>46</v>
      </c>
      <c r="T17" s="183">
        <v>46</v>
      </c>
      <c r="U17" s="183">
        <v>45</v>
      </c>
      <c r="V17" s="183">
        <v>47</v>
      </c>
      <c r="W17" s="183">
        <v>9</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46</v>
      </c>
      <c r="BA17" s="129">
        <f t="shared" si="14"/>
        <v>45</v>
      </c>
      <c r="BB17" s="129">
        <f t="shared" si="14"/>
        <v>47</v>
      </c>
      <c r="BC17" s="125">
        <f>IF(ISNUMBER(W17),W17," - ")</f>
        <v>9</v>
      </c>
      <c r="BD17" s="126">
        <f>IF(ISNUMBER(BA17/AZ17),BA17/AZ17," - ")</f>
        <v>0.97826086956521741</v>
      </c>
      <c r="BE17" s="127">
        <f>IF(ISNUMBER(BB17/BA17),BB17/BA17, " - ")</f>
        <v>1.0444444444444445</v>
      </c>
      <c r="BF17" s="127">
        <f>IF(ISNUMBER(BC17/BA17),BC17/BA17, " - ")</f>
        <v>0.2</v>
      </c>
      <c r="BG17" s="196">
        <f>IF(ISNUMBER((AY17+AZ17)/BA17),(AY17+AZ17)/BA17," - ")</f>
        <v>2.0444444444444443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956</v>
      </c>
      <c r="J18" s="184">
        <f t="shared" si="15"/>
        <v>609</v>
      </c>
      <c r="K18" s="184">
        <f t="shared" si="15"/>
        <v>572</v>
      </c>
      <c r="L18" s="184">
        <f t="shared" si="15"/>
        <v>998</v>
      </c>
      <c r="M18" s="184">
        <f t="shared" si="15"/>
        <v>50</v>
      </c>
      <c r="N18" s="184">
        <f t="shared" si="15"/>
        <v>461</v>
      </c>
      <c r="O18" s="184">
        <f t="shared" si="15"/>
        <v>7</v>
      </c>
      <c r="P18" s="184">
        <f t="shared" si="15"/>
        <v>5</v>
      </c>
      <c r="Q18" s="184">
        <f t="shared" si="15"/>
        <v>12</v>
      </c>
      <c r="R18" s="184">
        <f t="shared" si="15"/>
        <v>204</v>
      </c>
      <c r="S18" s="184">
        <f t="shared" si="15"/>
        <v>670</v>
      </c>
      <c r="T18" s="184">
        <f t="shared" si="15"/>
        <v>642</v>
      </c>
      <c r="U18" s="184">
        <f t="shared" si="15"/>
        <v>548</v>
      </c>
      <c r="V18" s="184">
        <f t="shared" si="15"/>
        <v>740</v>
      </c>
      <c r="W18" s="184">
        <f t="shared" si="15"/>
        <v>84</v>
      </c>
      <c r="X18" s="184">
        <f t="shared" si="15"/>
        <v>406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670</v>
      </c>
      <c r="AZ18" s="184">
        <f>SUBTOTAL(9,AZ14:AZ17)</f>
        <v>642</v>
      </c>
      <c r="BA18" s="184">
        <f>SUBTOTAL(9,BA14:BA17)</f>
        <v>548</v>
      </c>
      <c r="BB18" s="184">
        <f>SUBTOTAL(9,BB14:BB17)</f>
        <v>740</v>
      </c>
      <c r="BC18" s="184">
        <f>SUBTOTAL(9,BC14:BC17)</f>
        <v>84</v>
      </c>
      <c r="BD18" s="205">
        <f>IF(ISNUMBER(BA18/AZ18),BA18/AZ18," - ")</f>
        <v>0.85358255451713394</v>
      </c>
      <c r="BE18" s="206">
        <f>IF(ISNUMBER(BB18/BA18),BB18/BA18, " - ")</f>
        <v>1.3503649635036497</v>
      </c>
      <c r="BF18" s="206">
        <f>IF(ISNUMBER(BC18/BA18),BC18/BA18, " - ")</f>
        <v>0.15328467153284672</v>
      </c>
      <c r="BG18" s="207">
        <f>IF(ISNUMBER((AY18+AZ18)/BA18),(AY18+AZ18)/BA18," - ")</f>
        <v>2.394160583941606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2284</v>
      </c>
      <c r="J19" s="134">
        <f t="shared" si="18"/>
        <v>1307</v>
      </c>
      <c r="K19" s="134">
        <f t="shared" si="18"/>
        <v>1005</v>
      </c>
      <c r="L19" s="134">
        <f t="shared" si="18"/>
        <v>2591</v>
      </c>
      <c r="M19" s="134">
        <f t="shared" si="18"/>
        <v>96</v>
      </c>
      <c r="N19" s="134">
        <f t="shared" si="18"/>
        <v>621</v>
      </c>
      <c r="O19" s="134">
        <f t="shared" si="18"/>
        <v>206</v>
      </c>
      <c r="P19" s="134">
        <f t="shared" si="18"/>
        <v>116</v>
      </c>
      <c r="Q19" s="134">
        <f t="shared" si="18"/>
        <v>68</v>
      </c>
      <c r="R19" s="134">
        <f t="shared" si="18"/>
        <v>1993</v>
      </c>
      <c r="S19" s="134">
        <f t="shared" si="18"/>
        <v>1825</v>
      </c>
      <c r="T19" s="134">
        <f t="shared" si="18"/>
        <v>1087</v>
      </c>
      <c r="U19" s="134">
        <f t="shared" si="18"/>
        <v>969</v>
      </c>
      <c r="V19" s="134">
        <f t="shared" si="18"/>
        <v>1833</v>
      </c>
      <c r="W19" s="134">
        <f t="shared" si="18"/>
        <v>173</v>
      </c>
      <c r="X19" s="134">
        <f t="shared" si="18"/>
        <v>616</v>
      </c>
      <c r="Y19" s="134">
        <f t="shared" si="18"/>
        <v>98</v>
      </c>
      <c r="Z19" s="134">
        <f t="shared" si="18"/>
        <v>24</v>
      </c>
      <c r="AA19" s="134">
        <f t="shared" si="18"/>
        <v>27</v>
      </c>
      <c r="AB19" s="134">
        <f t="shared" si="18"/>
        <v>95</v>
      </c>
      <c r="AC19" s="134">
        <f t="shared" si="18"/>
        <v>0</v>
      </c>
      <c r="AD19" s="134">
        <f t="shared" si="18"/>
        <v>0</v>
      </c>
      <c r="AE19" s="134">
        <f t="shared" si="18"/>
        <v>0</v>
      </c>
      <c r="AF19" s="134">
        <f t="shared" si="18"/>
        <v>0</v>
      </c>
      <c r="AG19" s="134">
        <f t="shared" si="18"/>
        <v>94</v>
      </c>
      <c r="AH19" s="134">
        <f t="shared" si="18"/>
        <v>19</v>
      </c>
      <c r="AI19" s="134">
        <f t="shared" si="18"/>
        <v>28</v>
      </c>
      <c r="AJ19" s="134">
        <f t="shared" si="18"/>
        <v>118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1919</v>
      </c>
      <c r="AZ19" s="134">
        <f>SUBTOTAL(9,AZ9:AZ18)</f>
        <v>1106</v>
      </c>
      <c r="BA19" s="134">
        <f>SUBTOTAL(9,BA9:BA18)</f>
        <v>997</v>
      </c>
      <c r="BB19" s="134">
        <f>SUBTOTAL(9,BB9:BB18)</f>
        <v>1951</v>
      </c>
      <c r="BC19" s="135">
        <f>SUBTOTAL(9,BC9:BC18)</f>
        <v>297</v>
      </c>
      <c r="BD19" s="213">
        <f>IF(ISNUMBER(BA19/AZ19),BA19/AZ19," - ")</f>
        <v>0.90144665461121154</v>
      </c>
      <c r="BE19" s="210">
        <f>IF(ISNUMBER(BB19/BA19),BB19/BA19, " - ")</f>
        <v>1.9568706118355066</v>
      </c>
      <c r="BF19" s="210">
        <f>IF(ISNUMBER(BC19/BA19),BC19/BA19, " - ")</f>
        <v>0.29789368104312941</v>
      </c>
      <c r="BG19" s="135">
        <f>IF(ISNUMBER((AY19+AZ19)/BA19),(AY19+AZ19)/BA19," - ")</f>
        <v>3.0341023069207624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DMbIDcOHa/o6RH5rMVdkF7jOREnWPltCRMXU3HcvYzMOBD+2ZMFLeOpWKcWQbse7aF0KO20INAM7e3mfhIMQ==" saltValue="30UjvbeWqxldBtaefFTY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zCE9wcqxd8Rug97obRz3vSE+9Ga0SyN9ZKAGGBuOv7ZGdB+GfsxeVWtDNyv35SZeiNwM8vOQYJGgA7CTwhXaw==" saltValue="sRJSjQh0XlXHl++zAE3HQ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ICOD DE LOS VINOS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19</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18.999999999999996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0.22222222222222221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109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95</v>
      </c>
      <c r="AI12" s="334" t="str">
        <f>IF(ISNUMBER(Datos!CD12),Datos!CD12,"-")</f>
        <v>-</v>
      </c>
      <c r="AJ12" s="334" t="str">
        <f>IF(ISNUMBER(Datos!EN12),Datos!EN12," - ")</f>
        <v xml:space="preserve"> - </v>
      </c>
      <c r="AK12" s="334"/>
      <c r="AL12" s="479"/>
      <c r="AM12" s="335">
        <f>IF(ISNUMBER(Datos!R12),Datos!R12," - ")</f>
        <v>1778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v>
      </c>
      <c r="BD12" s="229">
        <f>IF(ISNUMBER(Datos!N12),Datos!N12," - ")</f>
        <v>160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0.64095371669004209</v>
      </c>
      <c r="BH12" s="260">
        <f>IF(ISNUMBER(((IF(J_V="SI",Datos!L12/Datos!K12,(Datos!L12+Datos!AB12)/(Datos!K12+Datos!AA12)))*11)/factor_trimestre),((IF(J_V="SI",Datos!L12/Datos!K12,(Datos!L12+Datos!AB12)/(Datos!K12+Datos!AA12)))*11)/factor_trimestre," - ")</f>
        <v>10.956236323851202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3.072463768115942E-2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111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56</v>
      </c>
      <c r="AD13" s="899">
        <f t="shared" si="1"/>
        <v>0</v>
      </c>
      <c r="AE13" s="899">
        <f t="shared" si="1"/>
        <v>0</v>
      </c>
      <c r="AF13" s="899">
        <f t="shared" si="1"/>
        <v>19</v>
      </c>
      <c r="AG13" s="899">
        <f t="shared" si="1"/>
        <v>0</v>
      </c>
      <c r="AH13" s="899">
        <f t="shared" si="1"/>
        <v>95</v>
      </c>
      <c r="AI13" s="899">
        <f t="shared" si="1"/>
        <v>0</v>
      </c>
      <c r="AJ13" s="899">
        <f t="shared" si="1"/>
        <v>0</v>
      </c>
      <c r="AK13" s="899">
        <f t="shared" si="1"/>
        <v>0</v>
      </c>
      <c r="AL13" s="899">
        <f t="shared" si="1"/>
        <v>0</v>
      </c>
      <c r="AM13" s="899">
        <f t="shared" si="1"/>
        <v>1789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v>
      </c>
      <c r="BD13" s="899">
        <f t="shared" si="1"/>
        <v>160</v>
      </c>
      <c r="BE13" s="899">
        <f t="shared" si="1"/>
        <v>0</v>
      </c>
      <c r="BF13" s="899">
        <f t="shared" si="1"/>
        <v>0</v>
      </c>
      <c r="BG13" s="899">
        <f>IF(ISNUMBER(Datos!K13/Datos!J13),Datos!K13/Datos!J13," - ")</f>
        <v>0.62034383954154726</v>
      </c>
      <c r="BH13" s="903">
        <f>IF(ISNUMBER(((Datos!L13/Datos!K13)*11)/factor_trimestre),((Datos!L13/Datos!K13)*11)/factor_trimestre," - ")</f>
        <v>11.036951501154736</v>
      </c>
      <c r="BI13" s="899">
        <f>IF(ISNUMBER('Resol  Asuntos'!D13/NºAsuntos!G13),'Resol  Asuntos'!D13/NºAsuntos!G13," - ")</f>
        <v>0.1</v>
      </c>
      <c r="BJ13" s="899" t="str">
        <f>IF(ISNUMBER(Datos!CI13/Datos!CJ13),Datos!CI13/Datos!CJ13," - ")</f>
        <v xml:space="preserve"> - </v>
      </c>
      <c r="BK13" s="899">
        <f>SUBTOTAL(9,BK8:BK12)</f>
        <v>0</v>
      </c>
      <c r="BL13" s="899">
        <f>IF(ISNUMBER((I13-AB13+L13)/(F13)),(I13-AB13+L13)/(F13)," - ")</f>
        <v>-0.23076923076923078</v>
      </c>
      <c r="BM13" s="904">
        <f>SUBTOTAL(9,BM9:BM12)</f>
        <v>0.25294685990338162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898</v>
      </c>
      <c r="G16" s="598">
        <f>IF(ISNUMBER(IF(D_I="SI",Datos!I16,Datos!I16+Datos!AC16)),IF(D_I="SI",Datos!I16,Datos!I16+Datos!AC16)," - ")</f>
        <v>895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534</v>
      </c>
      <c r="AC16" s="226">
        <f>IF(ISNUMBER(Datos!Q16),Datos!Q16," - ")</f>
        <v>12</v>
      </c>
      <c r="AD16" s="334"/>
      <c r="AE16" s="484"/>
      <c r="AF16" s="596">
        <f>IF(ISNUMBER(IF(D_I="SI",Datos!L16,Datos!L16+Datos!AF16)),IF(D_I="SI",Datos!L16,Datos!L16+Datos!AF16)," - ")</f>
        <v>939</v>
      </c>
      <c r="AG16" s="334"/>
      <c r="AH16" s="334"/>
      <c r="AI16" s="334"/>
      <c r="AJ16" s="334"/>
      <c r="AK16" s="334"/>
      <c r="AL16" s="479"/>
      <c r="AM16" s="335">
        <f>IF(ISNUMBER(Datos!R16),Datos!R16," - ")</f>
        <v>196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419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0.92869565217391303</v>
      </c>
      <c r="BH16" s="260">
        <f>IF(ISNUMBER(((IF(D_I="SI",Datos!L16/Datos!K16,(Datos!L16+Datos!AF16)/(Datos!K16+Datos!AE16)))*11)/factor_trimestre),((IF(D_I="SI",Datos!L16/Datos!K16,(Datos!L16+Datos!AF16)/(Datos!K16+Datos!AE16)))*11)/factor_trimestre," - ")</f>
        <v>5.2752808988764039</v>
      </c>
      <c r="BI16" s="243">
        <f>IF(ISNUMBER('Resol  Asuntos'!D16/NºAsuntos!G16),'Resol  Asuntos'!D16/NºAsuntos!G16," - ")</f>
        <v>8.2397003745318345E-2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59</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42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1.1176470588235294</v>
      </c>
      <c r="BH17" s="260">
        <f>IF(ISNUMBER(((IF(D_I="SI",Datos!L17/Datos!K17,(Datos!L17+Datos!AF17)/(Datos!K17+Datos!AE17)))*11)/factor_trimestre),((IF(D_I="SI",Datos!L17/Datos!K17,(Datos!L17+Datos!AF17)/(Datos!K17+Datos!AE17)))*11)/factor_trimestre," - ")</f>
        <v>4.6578947368421053</v>
      </c>
      <c r="BI17" s="243">
        <f>IF(ISNUMBER('Resol  Asuntos'!D17/NºAsuntos!G17),'Resol  Asuntos'!D17/NºAsuntos!G17," - ")</f>
        <v>0.15789473684210525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898</v>
      </c>
      <c r="G18" s="898">
        <f>SUBTOTAL(9,G15:G17)</f>
        <v>956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572</v>
      </c>
      <c r="AC18" s="899">
        <f t="shared" si="4"/>
        <v>12</v>
      </c>
      <c r="AD18" s="899">
        <f t="shared" si="4"/>
        <v>0</v>
      </c>
      <c r="AE18" s="899">
        <f t="shared" si="4"/>
        <v>0</v>
      </c>
      <c r="AF18" s="899">
        <f t="shared" si="4"/>
        <v>998</v>
      </c>
      <c r="AG18" s="899">
        <f t="shared" si="4"/>
        <v>0</v>
      </c>
      <c r="AH18" s="899">
        <f t="shared" si="4"/>
        <v>0</v>
      </c>
      <c r="AI18" s="899">
        <f t="shared" si="4"/>
        <v>0</v>
      </c>
      <c r="AJ18" s="899">
        <f t="shared" si="4"/>
        <v>0</v>
      </c>
      <c r="AK18" s="899">
        <f t="shared" si="4"/>
        <v>0</v>
      </c>
      <c r="AL18" s="899">
        <f t="shared" si="4"/>
        <v>0</v>
      </c>
      <c r="AM18" s="899">
        <f t="shared" si="4"/>
        <v>204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v>
      </c>
      <c r="BD18" s="899">
        <f t="shared" si="4"/>
        <v>461</v>
      </c>
      <c r="BE18" s="899">
        <f t="shared" si="4"/>
        <v>0</v>
      </c>
      <c r="BF18" s="899">
        <f t="shared" si="4"/>
        <v>0</v>
      </c>
      <c r="BG18" s="899">
        <f>IF(ISNUMBER(Datos!K18/Datos!J18),Datos!K18/Datos!J18," - ")</f>
        <v>0.93924466338259438</v>
      </c>
      <c r="BH18" s="903">
        <f>IF(ISNUMBER(((Datos!L18/Datos!K18)*11)/factor_trimestre),((Datos!L18/Datos!K18)*11)/factor_trimestre," - ")</f>
        <v>5.234265734265735</v>
      </c>
      <c r="BI18" s="899">
        <f>SUBTOTAL(9,BI15:BI17)</f>
        <v>0.24029174058742359</v>
      </c>
      <c r="BJ18" s="899">
        <f>SUBTOTAL(9,BJ15:BJ17)</f>
        <v>0</v>
      </c>
      <c r="BK18" s="899">
        <f>SUBTOTAL(9,BK15:BK17)</f>
        <v>0</v>
      </c>
      <c r="BL18" s="899">
        <f>IF(ISNUMBER((I18-AB18+L18)/(F18)),(I18-AB18+L18)/(F18)," - ")</f>
        <v>-0.63697104677060135</v>
      </c>
      <c r="BM18" s="905">
        <f>IF(ISNUMBER((Datos!P18-Datos!Q18)/(Datos!R18-Datos!P18+Datos!Q18)),(Datos!P18-Datos!Q18)/(Datos!R18-Datos!P18+Datos!Q18)," - ")</f>
        <v>-3.3175355450236969E-2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911</v>
      </c>
      <c r="G19" s="820">
        <f t="shared" si="6"/>
        <v>969</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116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575</v>
      </c>
      <c r="AC19" s="821">
        <f t="shared" si="7"/>
        <v>68</v>
      </c>
      <c r="AD19" s="821">
        <f t="shared" si="7"/>
        <v>0</v>
      </c>
      <c r="AE19" s="821">
        <f t="shared" si="7"/>
        <v>0</v>
      </c>
      <c r="AF19" s="828">
        <f t="shared" si="7"/>
        <v>1017</v>
      </c>
      <c r="AG19" s="828">
        <f t="shared" si="7"/>
        <v>0</v>
      </c>
      <c r="AH19" s="828">
        <f t="shared" si="7"/>
        <v>95</v>
      </c>
      <c r="AI19" s="828">
        <f t="shared" si="7"/>
        <v>0</v>
      </c>
      <c r="AJ19" s="821">
        <f t="shared" si="7"/>
        <v>0</v>
      </c>
      <c r="AK19" s="828">
        <f t="shared" si="7"/>
        <v>0</v>
      </c>
      <c r="AL19" s="828">
        <f t="shared" si="7"/>
        <v>0</v>
      </c>
      <c r="AM19" s="828">
        <f t="shared" si="7"/>
        <v>1993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v>
      </c>
      <c r="BD19" s="820">
        <f t="shared" si="7"/>
        <v>621</v>
      </c>
      <c r="BE19" s="820">
        <f t="shared" si="7"/>
        <v>0</v>
      </c>
      <c r="BF19" s="830">
        <f t="shared" si="7"/>
        <v>0</v>
      </c>
      <c r="BG19" s="915">
        <f>IF(ISNUMBER(Datos!K19/Datos!J19),Datos!K19/Datos!J19," - ")</f>
        <v>0.76893649579188983</v>
      </c>
      <c r="BH19" s="915">
        <f>IF(ISNUMBER(((Datos!L19/Datos!K19)*11)/factor_trimestre),((Datos!L19/Datos!K19)*11)/factor_trimestre," - ")</f>
        <v>7.7343283582089555</v>
      </c>
      <c r="BI19" s="813">
        <f>IF(ISNUMBER(Datos!J19/Datos!I19),Datos!J19/Datos!I19," - ")</f>
        <v>0.57224168126094566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-0.63117453347969266</v>
      </c>
      <c r="BM19" s="889">
        <f>IF(ISNUMBER((Datos!P19-Datos!Q19+R19)/(Datos!R19-Datos!P19+Datos!Q19-R19)),(Datos!P19-Datos!Q19+R19)/(Datos!R19-Datos!P19+Datos!Q19-R19)," - ")</f>
        <v>2.4678663239074552E-2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510.95498823281878</v>
      </c>
      <c r="G21" s="552">
        <f>IF(ISNUMBER(STDEV(G8:G18)),STDEV(G8:G18),"-")</f>
        <v>491.89714372010741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295.50888311521197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21.456933611306159</v>
      </c>
      <c r="BD21" s="551"/>
      <c r="BE21" s="551">
        <f>IF(ISNUMBER(STDEV(BE8:BE18)),STDEV(BE8:BE18),"-")</f>
        <v>0</v>
      </c>
      <c r="BF21" s="556">
        <f>IF(ISNUMBER(STDEV(BF8:BF18)),STDEV(BF8:BF18),"-")</f>
        <v>0</v>
      </c>
      <c r="BG21" s="775">
        <f>IF(ISNUMBER(STDEV(BG8:BG18)),STDEV(BG8:BG18),"-")</f>
        <v>0.28430633709698</v>
      </c>
      <c r="BH21" s="776">
        <f>IF(ISNUMBER(STDEV(BH8:BH18)),STDEV(BH8:BH18),"-")</f>
        <v>5.5516870218912935</v>
      </c>
      <c r="BI21" s="249">
        <f>IF(ISNUMBER(STDEV(BI8:BI18)),STDEV(BI8:BI18),"-")</f>
        <v>7.1159070843431094E-2</v>
      </c>
      <c r="BJ21" s="230" t="str">
        <f>IF(ISNUMBER(BL21/BM21),BL21/BM21," - ")</f>
        <v xml:space="preserve"> - </v>
      </c>
      <c r="BK21" s="575"/>
      <c r="BL21" s="559">
        <f>IF(ISNUMBER(STDEV(BL8:BL18)),STDEV(BL8:BL18),"-")</f>
        <v>0.28722805862485928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yN+1YvtnmhmIweAAj0qmaGL3Qau5bTxmXiZ5l+DRdPs7AKWvmf3cdRFp5vGEj+skVo4p0wsZWR9xwK/lhyhHg==" saltValue="TYzd3e+VlxYYrFLdfWaWV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ICOD DE LOS VINOS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19</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18.999999999999996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0.22222222222222221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56</v>
      </c>
      <c r="AA12" s="332" t="str">
        <f>IF(ISNUMBER(IF(J_V="SI",Datos!L12,Datos!L12+Datos!AB12)-IF(Monitorios="SI",Datos!CD12,0)),
                          IF(J_V="SI",Datos!L12,Datos!L12+Datos!AB12)-IF(Monitorios="SI",Datos!CD12,0),
                          " - ")</f>
        <v xml:space="preserve"> - </v>
      </c>
      <c r="AB12" s="334"/>
      <c r="AC12" s="334"/>
      <c r="AD12" s="484"/>
      <c r="AE12" s="484">
        <f>IF(ISNUMBER(Datos!R12),Datos!R12," - ")</f>
        <v>1778</v>
      </c>
      <c r="AF12" s="229" t="str">
        <f>IF(ISNUMBER(Datos!BV12),Datos!BV12," - ")</f>
        <v xml:space="preserve"> - </v>
      </c>
      <c r="AG12" s="225" t="str">
        <f>IF(ISNUMBER(Datos!DV12),Datos!DV12," - ")</f>
        <v xml:space="preserve"> - </v>
      </c>
      <c r="AH12" s="298"/>
      <c r="AI12" s="227"/>
      <c r="AJ12" s="225">
        <f>IF(ISNUMBER(Datos!M12),Datos!M12," - ")</f>
        <v>43</v>
      </c>
      <c r="AK12" s="229">
        <f>IF(ISNUMBER(Datos!N12),Datos!N12," - ")</f>
        <v>160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10.956236323851202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3.072463768115942E-2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56</v>
      </c>
      <c r="AA13" s="900">
        <f t="shared" si="2"/>
        <v>19</v>
      </c>
      <c r="AB13" s="900">
        <f t="shared" si="2"/>
        <v>0</v>
      </c>
      <c r="AC13" s="900">
        <f t="shared" si="2"/>
        <v>0</v>
      </c>
      <c r="AD13" s="900">
        <f t="shared" si="2"/>
        <v>0</v>
      </c>
      <c r="AE13" s="900">
        <f t="shared" si="2"/>
        <v>1789</v>
      </c>
      <c r="AF13" s="908">
        <f t="shared" si="2"/>
        <v>0</v>
      </c>
      <c r="AG13" s="908">
        <f t="shared" si="2"/>
        <v>0</v>
      </c>
      <c r="AH13" s="908">
        <f t="shared" si="2"/>
        <v>0</v>
      </c>
      <c r="AI13" s="908">
        <f t="shared" si="2"/>
        <v>0</v>
      </c>
      <c r="AJ13" s="908">
        <f t="shared" si="2"/>
        <v>46</v>
      </c>
      <c r="AK13" s="908">
        <f t="shared" si="2"/>
        <v>160</v>
      </c>
      <c r="AL13" s="908">
        <f t="shared" si="2"/>
        <v>0</v>
      </c>
      <c r="AM13" s="908">
        <f t="shared" si="2"/>
        <v>0</v>
      </c>
      <c r="AN13" s="908">
        <f t="shared" si="2"/>
        <v>0</v>
      </c>
      <c r="AO13" s="904">
        <f>IF(ISNUMBER(((NºAsuntos!I13/NºAsuntos!G13)*11)/factor_trimestre),((NºAsuntos!I13/NºAsuntos!G13)*11)/factor_trimestre," - ")</f>
        <v>11.008695652173914</v>
      </c>
      <c r="AP13" s="910" t="str">
        <f>IF(ISNUMBER(Datos!CI13/Datos!CJ13),Datos!CI13/Datos!CJ13," - ")</f>
        <v xml:space="preserve"> - </v>
      </c>
      <c r="AQ13" s="928">
        <f t="shared" ref="AQ13:AV13" si="3">SUBTOTAL(9,AQ9:AQ12)</f>
        <v>0</v>
      </c>
      <c r="AR13" s="928">
        <f t="shared" si="3"/>
        <v>0.25294685990338162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898</v>
      </c>
      <c r="G16" s="225">
        <f>IF(ISNUMBER(IF(D_I="SI",Datos!I16,Datos!I16+Datos!AC16)),IF(D_I="SI",Datos!I16,Datos!I16+Datos!AC16)," - ")</f>
        <v>895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534</v>
      </c>
      <c r="Z16" s="619">
        <f>IF(ISNUMBER(Datos!Q16),Datos!Q16," - ")</f>
        <v>12</v>
      </c>
      <c r="AA16" s="332">
        <f>IF(ISNUMBER(IF(D_I="SI",Datos!L16,Datos!L16+Datos!AF16)),IF(D_I="SI",Datos!L16,Datos!L16+Datos!AF16)," - ")</f>
        <v>939</v>
      </c>
      <c r="AB16" s="334"/>
      <c r="AC16" s="334"/>
      <c r="AD16" s="484"/>
      <c r="AE16" s="484">
        <f>IF(ISNUMBER(Datos!R16),Datos!R16," - ")</f>
        <v>196</v>
      </c>
      <c r="AF16" s="229" t="str">
        <f>IF(ISNUMBER(Datos!BV16),Datos!BV16," - ")</f>
        <v xml:space="preserve"> - </v>
      </c>
      <c r="AG16" s="225"/>
      <c r="AH16" s="298"/>
      <c r="AI16" s="227"/>
      <c r="AJ16" s="225">
        <f>IF(ISNUMBER(Datos!M16),Datos!M16," - ")</f>
        <v>44</v>
      </c>
      <c r="AK16" s="229">
        <f>IF(ISNUMBER(Datos!N16),Datos!N16," - ")</f>
        <v>419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5.2752808988764039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59</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6</v>
      </c>
      <c r="AK17" s="229">
        <f>IF(ISNUMBER(Datos!N17),Datos!N17," - ")</f>
        <v>42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4.6578947368421053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898</v>
      </c>
      <c r="G18" s="898">
        <f>SUBTOTAL(9,G15:G17)</f>
        <v>956</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572</v>
      </c>
      <c r="Z18" s="932">
        <f t="shared" si="5"/>
        <v>12</v>
      </c>
      <c r="AA18" s="932">
        <f t="shared" si="5"/>
        <v>998</v>
      </c>
      <c r="AB18" s="932">
        <f t="shared" si="5"/>
        <v>0</v>
      </c>
      <c r="AC18" s="932">
        <f t="shared" si="5"/>
        <v>0</v>
      </c>
      <c r="AD18" s="932">
        <f t="shared" si="5"/>
        <v>0</v>
      </c>
      <c r="AE18" s="932">
        <f t="shared" si="5"/>
        <v>204</v>
      </c>
      <c r="AF18" s="932">
        <f t="shared" si="5"/>
        <v>0</v>
      </c>
      <c r="AG18" s="932">
        <f t="shared" si="5"/>
        <v>0</v>
      </c>
      <c r="AH18" s="932">
        <f t="shared" si="5"/>
        <v>0</v>
      </c>
      <c r="AI18" s="932">
        <f t="shared" si="5"/>
        <v>0</v>
      </c>
      <c r="AJ18" s="932">
        <f t="shared" si="5"/>
        <v>50</v>
      </c>
      <c r="AK18" s="932">
        <f t="shared" si="5"/>
        <v>461</v>
      </c>
      <c r="AL18" s="932">
        <f t="shared" si="5"/>
        <v>0</v>
      </c>
      <c r="AM18" s="932">
        <f t="shared" si="5"/>
        <v>0</v>
      </c>
      <c r="AN18" s="932">
        <f t="shared" si="5"/>
        <v>0</v>
      </c>
      <c r="AO18" s="934">
        <f>IF(ISNUMBER(((NºAsuntos!I18/NºAsuntos!G18)*11)/factor_trimestre),((NºAsuntos!I18/NºAsuntos!G18)*11)/factor_trimestre," - ")</f>
        <v>5.234265734265735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911</v>
      </c>
      <c r="G19" s="820">
        <f t="shared" si="7"/>
        <v>969</v>
      </c>
      <c r="H19" s="821">
        <f t="shared" si="7"/>
        <v>0</v>
      </c>
      <c r="I19" s="820">
        <f t="shared" si="7"/>
        <v>0</v>
      </c>
      <c r="J19" s="822">
        <f t="shared" si="7"/>
        <v>0</v>
      </c>
      <c r="K19" s="820">
        <f t="shared" si="7"/>
        <v>0</v>
      </c>
      <c r="L19" s="823">
        <f t="shared" si="7"/>
        <v>0</v>
      </c>
      <c r="M19" s="820">
        <f t="shared" si="7"/>
        <v>0</v>
      </c>
      <c r="N19" s="821">
        <f t="shared" si="7"/>
        <v>116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575</v>
      </c>
      <c r="Z19" s="827">
        <f t="shared" si="8"/>
        <v>68</v>
      </c>
      <c r="AA19" s="828">
        <f t="shared" si="8"/>
        <v>1017</v>
      </c>
      <c r="AB19" s="828">
        <f t="shared" si="8"/>
        <v>0</v>
      </c>
      <c r="AC19" s="828">
        <f t="shared" si="8"/>
        <v>0</v>
      </c>
      <c r="AD19" s="829">
        <f t="shared" si="8"/>
        <v>0</v>
      </c>
      <c r="AE19" s="829">
        <f t="shared" si="8"/>
        <v>1993</v>
      </c>
      <c r="AF19" s="830">
        <f t="shared" si="8"/>
        <v>0</v>
      </c>
      <c r="AG19" s="831">
        <f t="shared" si="8"/>
        <v>0</v>
      </c>
      <c r="AH19" s="832">
        <f t="shared" si="8"/>
        <v>0</v>
      </c>
      <c r="AI19" s="830">
        <f t="shared" si="8"/>
        <v>0</v>
      </c>
      <c r="AJ19" s="820">
        <f t="shared" si="8"/>
        <v>96</v>
      </c>
      <c r="AK19" s="820">
        <f t="shared" si="8"/>
        <v>621</v>
      </c>
      <c r="AL19" s="820">
        <f t="shared" si="8"/>
        <v>0</v>
      </c>
      <c r="AM19" s="833">
        <f t="shared" si="8"/>
        <v>0</v>
      </c>
      <c r="AN19" s="823">
        <f>IF(ISNUMBER(Datos!K19/Datos!J19),Datos!K19/Datos!J19," - ")</f>
        <v>0.76893649579188983</v>
      </c>
      <c r="AO19" s="823">
        <f>IF(ISNUMBER(FIND("06",Criterios!A8,1)),(IF(ISNUMBER(((Datos!R19/Datos!Q19)*11)/factor_trimestre),((Datos!R19/Datos!Q19)*11)/factor_trimestre," - ")),(IF(ISNUMBER(((Datos!L19/Datos!K19)*11)/factor_trimestre),((Datos!L19/Datos!K19)*11)/factor_trimestre," - ")))</f>
        <v>7.7343283582089555</v>
      </c>
      <c r="AP19" s="834" t="str">
        <f>IF(ISNUMBER(Datos!CI19/Datos!CJ19),Datos!CI19/Datos!CJ19," - ")</f>
        <v xml:space="preserve"> - </v>
      </c>
      <c r="AQ19" s="834">
        <f>IF(OR(ISNUMBER(FIND("01",Criterios!A8,1)),ISNUMBER(FIND("02",Criterios!A8,1)),ISNUMBER(FIND("03",Criterios!A8,1)),ISNUMBER(FIND("04",Criterios!A8,1))),(J19-Y19+K19)/(F19-K19),(I19-Y19+K19)/(F19-K19))</f>
        <v>-0.63117453347969266</v>
      </c>
      <c r="AR19" s="834">
        <f>IF(ISNUMBER((Datos!P19-Datos!Q19+O19)/(Datos!R19-Datos!P19+Datos!Q19-O19)),(Datos!P19-Datos!Q19+O19)/(Datos!R19-Datos!P19+Datos!Q19-O19)," - ")</f>
        <v>2.4678663239074552E-2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510.95498823281878</v>
      </c>
      <c r="G21" s="552">
        <f>IF(ISNUMBER(STDEV(G8:G18)),STDEV(G8:G18),"-")</f>
        <v>491.89714372010741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21.456933611306159</v>
      </c>
      <c r="AK21" s="252"/>
      <c r="AL21" s="252">
        <f>IF(ISNUMBER(STDEV(AL8:AL18)),STDEV(AL8:AL18),"-")</f>
        <v>0</v>
      </c>
      <c r="AM21" s="254">
        <f>IF(ISNUMBER(STDEV(AM8:AM18)),STDEV(AM8:AM18),"-")</f>
        <v>0</v>
      </c>
      <c r="AN21" s="539">
        <f>IF(ISNUMBER(STDEV(AN8:AN18)),STDEV(AN8:AN18),"-")</f>
        <v>0</v>
      </c>
      <c r="AO21" s="540">
        <f>IF(ISNUMBER(STDEV(AO8:AO18)),STDEV(AO8:AO18),"-")</f>
        <v>5.5499918526444523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5UNJzQMFPptAIrpnv5Am3YKnzVuWMR591X9FjW7s1PE+9ahJtnmrBJe14/ws9loFjJWxzagkrje3DN8Cf0vLUA==" saltValue="Oy2CVDHQSAFva9fYFJXD5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U62NfT+h6m6dJnGA2FGLucEgl3/orkX2kDFZHzlbHEcaIY+5swS/N6HO5cna9ZEHoNBeltkqg5Na92n60CuBg==" saltValue="8eKVWqepNv9HZbXlwXdK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L0QbsskzC8EIBf6n1960Y6t36rid6k1aj7kERxlt5oc7/Znx/Bya1oh/1pMP9PYm/os0Yev68idIHBqmsRxoA==" saltValue="BEKT3IgHJqS1jFoSL9zTp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ICOD DE LOS VINOS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7.0710678118654766E-2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6DXX9JheagM6XEP+iQBlq7l2PL0//69TzjOXCQYGlnH3ReDNg4CZhpMjdiQ8Ul7gdHqgNz2Kv4FCtjnwS0Low==" saltValue="kJ24TgRSWyUm4DCFCDcUL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PMqpkJFJzIFMrtVJeZkDxmcmpxMJBink/oau6kiUZLDYWuZRH2bmWO/fFFpE0BmNL5v2AyjRQKuPRowipcKJg==" saltValue="NxIulIY3GZAn+qpem2+y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ICOD DE LOS VINOS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9</v>
      </c>
      <c r="F10" s="404">
        <f>IF(ISNUMBER(E10/B10),E10/B10," - ")</f>
        <v>9</v>
      </c>
      <c r="G10" s="403">
        <f>IF(ISNUMBER(Datos!K10),Datos!K10," - ")</f>
        <v>3</v>
      </c>
      <c r="H10" s="404">
        <f>IF(ISNUMBER(G10/B10),G10/B10," - ")</f>
        <v>3</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1413</v>
      </c>
      <c r="D12" s="404">
        <f>IF(ISNUMBER(C12/Datos!BH12),C12/Datos!BH12," - ")</f>
        <v>706.5</v>
      </c>
      <c r="E12" s="403">
        <f>IF(ISNUMBER(IF(J_V="SI",Datos!J12,Datos!J12+Datos!Z12)),IF(J_V="SI",Datos!J12,Datos!J12+Datos!Z12)," - ")</f>
        <v>713</v>
      </c>
      <c r="F12" s="404">
        <f>IF(ISNUMBER(E12/B12),E12/B12," - ")</f>
        <v>356.5</v>
      </c>
      <c r="G12" s="403">
        <f>IF(ISNUMBER(IF(J_V="SI",Datos!K12,Datos!K12+Datos!AA12)),IF(J_V="SI",Datos!K12,Datos!K12+Datos!AA12)," - ")</f>
        <v>457</v>
      </c>
      <c r="H12" s="404">
        <f>IF(ISNUMBER(G12/B12),G12/B12," - ")</f>
        <v>228.5</v>
      </c>
      <c r="I12" s="403">
        <f>IF(ISNUMBER(IF(J_V="SI",Datos!L12,Datos!L12+Datos!AB12)),IF(J_V="SI",Datos!L12,Datos!L12+Datos!AB12)," - ")</f>
        <v>1669</v>
      </c>
      <c r="J12" s="404">
        <f>IF(ISNUMBER(I12/B12),I12/B12," - ")</f>
        <v>834.5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1426</v>
      </c>
      <c r="D13" s="850" t="str">
        <f>IF(ISNUMBER(C13/Datos!BI13),C13/Datos!BI13," - ")</f>
        <v xml:space="preserve"> - </v>
      </c>
      <c r="E13" s="849">
        <f>SUBTOTAL(9,E8:E12)</f>
        <v>722</v>
      </c>
      <c r="F13" s="850">
        <f>IF(ISNUMBER(E13/B13),E13/B13," - ")</f>
        <v>361</v>
      </c>
      <c r="G13" s="849">
        <f>SUBTOTAL(9,G8:G12)</f>
        <v>460</v>
      </c>
      <c r="H13" s="850">
        <f>IF(ISNUMBER(G13/B13),G13/B13," - ")</f>
        <v>230</v>
      </c>
      <c r="I13" s="849">
        <f>SUBTOTAL(9,I8:I12)</f>
        <v>1688</v>
      </c>
      <c r="J13" s="850">
        <f>IF(ISNUMBER(I13/B13),I13/B13," - ")</f>
        <v>844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895</v>
      </c>
      <c r="D16" s="404">
        <f>IF(ISNUMBER(C16/Datos!BH16),C16/Datos!BH16," - ")</f>
        <v>447.5</v>
      </c>
      <c r="E16" s="403">
        <f>IF(ISNUMBER(IF(D_I="SI",Datos!J16,Datos!J16+Datos!AD16)),IF(D_I="SI",Datos!J16,Datos!J16+Datos!AD16)," - ")</f>
        <v>575</v>
      </c>
      <c r="F16" s="404">
        <f>IF(ISNUMBER(E16/B16),E16/B16," - ")</f>
        <v>287.5</v>
      </c>
      <c r="G16" s="403">
        <f>IF(ISNUMBER(IF(D_I="SI",Datos!K16,Datos!K16+Datos!AE16)),IF(D_I="SI",Datos!K16,Datos!K16+Datos!AE16)," - ")</f>
        <v>534</v>
      </c>
      <c r="H16" s="404">
        <f>IF(ISNUMBER(G16/B16),G16/B16," - ")</f>
        <v>267</v>
      </c>
      <c r="I16" s="403">
        <f>IF(ISNUMBER(IF(D_I="SI",Datos!L16,Datos!L16+Datos!AF16)),IF(D_I="SI",Datos!L16,Datos!L16+Datos!AF16)," - ")</f>
        <v>939</v>
      </c>
      <c r="J16" s="404">
        <f>IF(ISNUMBER(I16/B16),I16/B16," - ")</f>
        <v>469.5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v>
      </c>
      <c r="D17" s="404">
        <f>IF(ISNUMBER(C17/Datos!BH17),C17/Datos!BH17," - ")</f>
        <v>61</v>
      </c>
      <c r="E17" s="403">
        <f>IF(ISNUMBER(IF(D_I="SI",Datos!J17,Datos!J17+Datos!AD17)),IF(D_I="SI",Datos!J17,Datos!J17+Datos!AD17)," - ")</f>
        <v>34</v>
      </c>
      <c r="F17" s="404">
        <f>IF(ISNUMBER(E17/B17),E17/B17," - ")</f>
        <v>34</v>
      </c>
      <c r="G17" s="403">
        <f>IF(ISNUMBER(IF(D_I="SI",Datos!K17,Datos!K17+Datos!AE17)),IF(D_I="SI",Datos!K17,Datos!K17+Datos!AE17)," - ")</f>
        <v>38</v>
      </c>
      <c r="H17" s="404">
        <f>IF(ISNUMBER(G17/B17),G17/B17," - ")</f>
        <v>38</v>
      </c>
      <c r="I17" s="403">
        <f>IF(ISNUMBER(IF(D_I="SI",Datos!L17,Datos!L17+Datos!AF17)),IF(D_I="SI",Datos!L17,Datos!L17+Datos!AF17)," - ")</f>
        <v>59</v>
      </c>
      <c r="J17" s="404">
        <f>IF(ISNUMBER(I17/B17),I17/B17," - ")</f>
        <v>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956</v>
      </c>
      <c r="D18" s="850" t="str">
        <f>IF(ISNUMBER(C18/Datos!BI18),C18/Datos!BI18," - ")</f>
        <v xml:space="preserve"> - </v>
      </c>
      <c r="E18" s="849">
        <f>SUBTOTAL(9,E14:E17)</f>
        <v>609</v>
      </c>
      <c r="F18" s="850">
        <f>IF(ISNUMBER(E18/B18),E18/B18," - ")</f>
        <v>304.5</v>
      </c>
      <c r="G18" s="849">
        <f>SUBTOTAL(9,G14:G17)</f>
        <v>572</v>
      </c>
      <c r="H18" s="850">
        <f>IF(ISNUMBER(G18/B18),G18/B18," - ")</f>
        <v>286</v>
      </c>
      <c r="I18" s="849">
        <f>SUBTOTAL(9,I14:I17)</f>
        <v>998</v>
      </c>
      <c r="J18" s="850">
        <f>IF(ISNUMBER(I18/B18),I18/B18," - ")</f>
        <v>499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2382</v>
      </c>
      <c r="D19" s="795" t="str">
        <f>IF(ISNUMBER(C19/Datos!BI19),C19/Datos!BI19," - ")</f>
        <v xml:space="preserve"> - </v>
      </c>
      <c r="E19" s="794">
        <f>SUBTOTAL(9,E9:E18)</f>
        <v>1331</v>
      </c>
      <c r="F19" s="795">
        <f>IF(ISNUMBER(E19/B19),E19/B19," - ")</f>
        <v>665.5</v>
      </c>
      <c r="G19" s="794">
        <f>SUBTOTAL(9,G9:G18)</f>
        <v>1032</v>
      </c>
      <c r="H19" s="795">
        <f>IF(ISNUMBER(G19/B19),G19/B19," - ")</f>
        <v>516</v>
      </c>
      <c r="I19" s="794">
        <f>SUBTOTAL(9,I9:I18)</f>
        <v>2686</v>
      </c>
      <c r="J19" s="795">
        <f>IF(ISNUMBER(I19/B19),I19/B19," - ")</f>
        <v>1343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2GNPWsNFmNzpXDfCvJE4brLiZGpDAvNhQ3z0y13AdP/ruZtjCEMNFsIkMTFcBwwhyoAtTwlfrEVRaZw0kdr2g==" saltValue="Wo/JsdRuUqQO83cwKcgc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ICOD DE LOS VINOS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18.999999999999996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v>
      </c>
      <c r="AM12" s="690">
        <f>IF(ISNUMBER(Datos!N12+DatosP!N16),Datos!N12+DatosP!N16," - ")</f>
        <v>160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10.956236323851202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3.072463768115942E-2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56</v>
      </c>
      <c r="AE13" s="939">
        <f t="shared" si="1"/>
        <v>0</v>
      </c>
      <c r="AF13" s="939">
        <f t="shared" si="1"/>
        <v>19</v>
      </c>
      <c r="AG13" s="939">
        <f t="shared" si="1"/>
        <v>0</v>
      </c>
      <c r="AH13" s="939">
        <f t="shared" si="1"/>
        <v>1778</v>
      </c>
      <c r="AI13" s="939">
        <f t="shared" si="1"/>
        <v>0</v>
      </c>
      <c r="AJ13" s="939">
        <f t="shared" si="1"/>
        <v>0</v>
      </c>
      <c r="AK13" s="939">
        <f t="shared" si="1"/>
        <v>0</v>
      </c>
      <c r="AL13" s="939">
        <f t="shared" si="1"/>
        <v>46</v>
      </c>
      <c r="AM13" s="939">
        <f t="shared" si="1"/>
        <v>160</v>
      </c>
      <c r="AN13" s="939">
        <f t="shared" si="1"/>
        <v>0</v>
      </c>
      <c r="AO13" s="939">
        <f t="shared" si="1"/>
        <v>0</v>
      </c>
      <c r="AP13" s="944">
        <f>IF(ISNUMBER(((Datos!L13/Datos!K13)*11)/factor_trimestre),((Datos!L13/Datos!K13)*11)/factor_trimestre," - ")</f>
        <v>11.036951501154736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-0.23076923076923078</v>
      </c>
      <c r="AU13" s="939" t="str">
        <f>IF(ISNUMBER((DatosP!#REF!-DatosP!#REF!+DatosP!#REF!)/(DatosP!#REF!+DatosP!#REF!-DatosP!#REF!-DatosP!#REF!)),(DatosP!#REF!-DatosP!#REF!+DatosP!#REF!)/(DatosP!#REF!+DatosP!#REF!-DatosP!#REF!-DatosP!#REF!)," - ")</f>
        <v xml:space="preserve"> - </v>
      </c>
      <c r="AV13" s="945">
        <f>SUBTOTAL(9,AV9:AV12)</f>
        <v>3.072463768115942E-2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5.234265734265735</v>
      </c>
      <c r="AQ18" s="944">
        <f>IF(ISNUMBER(((Datos!M18/Datos!L18)*11)/factor_trimestre),((Datos!M18/Datos!L18)*11)/factor_trimestre," - ")</f>
        <v>0.15030060120240482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-3.3175355450236969E-2</v>
      </c>
      <c r="AW18" s="946">
        <f>IF(ISNUMBER((Datos!Q18-Datos!R18)/(Datos!S18-Datos!Q18+Datos!R18)),(Datos!Q18-Datos!R18)/(Datos!S18-Datos!Q18+Datos!R18)," - ")</f>
        <v>-0.22273781902552203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56</v>
      </c>
      <c r="AE19" s="957">
        <f t="shared" si="5"/>
        <v>0</v>
      </c>
      <c r="AF19" s="958">
        <f t="shared" si="5"/>
        <v>19</v>
      </c>
      <c r="AG19" s="958">
        <f t="shared" si="5"/>
        <v>0</v>
      </c>
      <c r="AH19" s="958">
        <f t="shared" si="5"/>
        <v>1778</v>
      </c>
      <c r="AI19" s="958">
        <f t="shared" si="5"/>
        <v>0</v>
      </c>
      <c r="AJ19" s="959">
        <f t="shared" si="5"/>
        <v>0</v>
      </c>
      <c r="AK19" s="959">
        <f t="shared" si="5"/>
        <v>0</v>
      </c>
      <c r="AL19" s="951">
        <f t="shared" si="5"/>
        <v>46</v>
      </c>
      <c r="AM19" s="951">
        <f t="shared" si="5"/>
        <v>160</v>
      </c>
      <c r="AN19" s="951">
        <f t="shared" si="5"/>
        <v>0</v>
      </c>
      <c r="AO19" s="951">
        <f t="shared" si="5"/>
        <v>0</v>
      </c>
      <c r="AP19" s="951">
        <f>IF(ISNUMBER(((Datos!L19/Datos!K19)*11)/factor_trimestre),((Datos!L19/Datos!K19)*11)/factor_trimestre," - ")</f>
        <v>7.7343283582089555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-0.23076923076923078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2.4678663239074552E-2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24.886408606573454</v>
      </c>
      <c r="AM21" s="736"/>
      <c r="AN21" s="736">
        <f>IF(ISNUMBER(STDEV(AN8:AN18)),STDEV(AN8:AN18),"-")</f>
        <v>0</v>
      </c>
      <c r="AO21" s="742">
        <f>IF(ISNUMBER(STDEV(AO8:AO18)),STDEV(AO8:AO18),"-")</f>
        <v>0</v>
      </c>
      <c r="AP21" s="779">
        <f>IF(ISNUMBER(STDEV(AP8:AP18)),STDEV(AP8:AP18),"-")</f>
        <v>5.6570482572973217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1iNvAZ3Y/27cJT/h24v61d5E0EKEfBRkY20VuRMGHihiL0XoJWRLQMj5yA110GHx1MjBqO1cGmkh5LHNMNpf1A==" saltValue="qIpJTDUzBJrwJnPIhARr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ICOD DE LOS VINOS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R8oVDgz1vrSKeRkVdC27Z9W/ssPK01bCSAi63cJ1OKCnVbnf1yb8FTVE8iC2qpKThtiyoJ3zRrhXFoP5kC9Dw==" saltValue="TANC2vKrBqcZhjviosV6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ICOD DE LOS VINOS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43</v>
      </c>
      <c r="E12" s="404">
        <f t="shared" si="0"/>
        <v>21.5</v>
      </c>
      <c r="F12" s="403">
        <f>IF(ISNUMBER(Datos!N12),Datos!N12," - ")</f>
        <v>160</v>
      </c>
      <c r="G12" s="404">
        <f t="shared" si="1"/>
        <v>80</v>
      </c>
      <c r="H12" s="403">
        <f>IF(ISNUMBER(Datos!O12),Datos!O12," - ")</f>
        <v>199</v>
      </c>
      <c r="I12" s="404">
        <f t="shared" si="2"/>
        <v>99.5</v>
      </c>
      <c r="BZ12" s="1186">
        <f>Datos!EZ12</f>
        <v>0</v>
      </c>
    </row>
    <row r="13" spans="1:78" ht="14.25" thickTop="1" thickBot="1">
      <c r="A13" s="848" t="str">
        <f>Datos!A13</f>
        <v>TOTAL</v>
      </c>
      <c r="B13" s="849">
        <f>Datos!AP13</f>
        <v>2</v>
      </c>
      <c r="C13" s="851">
        <f>Datos!AR13</f>
        <v>2</v>
      </c>
      <c r="D13" s="849">
        <f>SUBTOTAL(9,D9:D12)</f>
        <v>46</v>
      </c>
      <c r="E13" s="850">
        <f t="shared" si="0"/>
        <v>23</v>
      </c>
      <c r="F13" s="849">
        <f>SUBTOTAL(9,F9:F12)</f>
        <v>160</v>
      </c>
      <c r="G13" s="850">
        <f t="shared" si="1"/>
        <v>80</v>
      </c>
      <c r="H13" s="849">
        <f>SUBTOTAL(9,H9:H12)</f>
        <v>199</v>
      </c>
      <c r="I13" s="850">
        <f>IF(ISNUMBER(H13/B13),H13/B13," - ")</f>
        <v>99.5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419</v>
      </c>
      <c r="G16" s="404">
        <f t="shared" si="4"/>
        <v>209.5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42</v>
      </c>
      <c r="G17" s="404">
        <f>IF(ISNUMBER(F17/B17),F17/B17," - ")</f>
        <v>42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50</v>
      </c>
      <c r="E18" s="850">
        <f t="shared" si="3"/>
        <v>25</v>
      </c>
      <c r="F18" s="849">
        <f>SUBTOTAL(9,F15:F17)</f>
        <v>461</v>
      </c>
      <c r="G18" s="850">
        <f t="shared" si="4"/>
        <v>230.5</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96</v>
      </c>
      <c r="E19" s="795">
        <f>IF(ISNUMBER(D19/B19),D19/B19," - ")</f>
        <v>48</v>
      </c>
      <c r="F19" s="794">
        <f>SUBTOTAL(9,F8:F18)</f>
        <v>621</v>
      </c>
      <c r="G19" s="795">
        <f>IF(ISNUMBER(F19/B19),F19/B19," - ")</f>
        <v>310.5</v>
      </c>
      <c r="H19" s="794">
        <f>SUBTOTAL(9,H8:H18)</f>
        <v>206</v>
      </c>
      <c r="I19" s="795">
        <f>IF(ISNUMBER(H19/B19),H19/B19," - ")</f>
        <v>103</v>
      </c>
    </row>
    <row r="22" spans="1:78">
      <c r="A22" s="391" t="str">
        <f>Criterios!A4</f>
        <v>Fecha Informe: 24 sep. 2024</v>
      </c>
    </row>
    <row r="27" spans="1:78">
      <c r="A27" s="414"/>
    </row>
  </sheetData>
  <sheetProtection algorithmName="SHA-512" hashValue="Vc7WLQlvJmuEyoTV/hTG4yYUp7tfWPLn/+QF9nxFQK7XmpmJGHqTRW18AqjV8jvH+S4+WY+m9gnAPQfbYd7MKw==" saltValue="dOEcmIWmG8V6bSb7DDff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ICOD DE LOS VINOS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109</v>
      </c>
      <c r="C12" s="434">
        <f>IF(ISNUMBER(Datos!Q12),Datos!Q12," - ")</f>
        <v>56</v>
      </c>
      <c r="D12" s="408">
        <f>IF(ISNUMBER(Datos!R12),Datos!R12," - ")</f>
        <v>1778</v>
      </c>
    </row>
    <row r="13" spans="1:4" ht="14.25" thickTop="1" thickBot="1">
      <c r="A13" s="848" t="str">
        <f>Datos!A13</f>
        <v>TOTAL</v>
      </c>
      <c r="B13" s="849">
        <f>SUBTOTAL(9,B9:B12)</f>
        <v>111</v>
      </c>
      <c r="C13" s="853">
        <f>SUBTOTAL(9,C9:C12)</f>
        <v>56</v>
      </c>
      <c r="D13" s="851">
        <f>SUBTOTAL(9,D9:D12)</f>
        <v>1789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12</v>
      </c>
      <c r="D16" s="408">
        <f>IF(ISNUMBER(Datos!R16),Datos!R16," - ")</f>
        <v>196</v>
      </c>
    </row>
    <row r="17" spans="1:4" ht="13.5" thickBot="1">
      <c r="A17" s="402" t="str">
        <f>Datos!A17</f>
        <v>Jdos. Violencia contra la mujer</v>
      </c>
      <c r="B17" s="433">
        <f>IF(ISNUMBER(Datos!P17),Datos!P17," - ")</f>
        <v>2</v>
      </c>
      <c r="C17" s="434">
        <f>IF(ISNUMBER(Datos!Q17),Datos!Q17," - ")</f>
        <v>0</v>
      </c>
      <c r="D17" s="408">
        <f>IF(ISNUMBER(Datos!R17),Datos!R17," - ")</f>
        <v>8</v>
      </c>
    </row>
    <row r="18" spans="1:4" ht="14.25" thickTop="1" thickBot="1">
      <c r="A18" s="848" t="str">
        <f>Datos!A18</f>
        <v>TOTAL</v>
      </c>
      <c r="B18" s="849">
        <f>SUBTOTAL(9,B15:B17)</f>
        <v>5</v>
      </c>
      <c r="C18" s="853">
        <f>SUBTOTAL(9,C15:C17)</f>
        <v>12</v>
      </c>
      <c r="D18" s="851">
        <f>SUBTOTAL(9,D15:D17)</f>
        <v>204</v>
      </c>
    </row>
    <row r="19" spans="1:4" ht="16.5" customHeight="1" thickTop="1" thickBot="1">
      <c r="A19" s="793" t="str">
        <f>Datos!A19</f>
        <v>TOTAL JURISDICCIONES</v>
      </c>
      <c r="B19" s="798">
        <f>SUBTOTAL(9,B8:B18)</f>
        <v>116</v>
      </c>
      <c r="C19" s="799">
        <f>SUBTOTAL(9,C8:C18)</f>
        <v>68</v>
      </c>
      <c r="D19" s="800">
        <f>SUBTOTAL(9,D8:D18)</f>
        <v>1993</v>
      </c>
    </row>
    <row r="20" spans="1:4" ht="7.5" customHeight="1"/>
    <row r="21" spans="1:4" ht="6" customHeight="1"/>
    <row r="22" spans="1:4">
      <c r="A22" s="391" t="str">
        <f>Criterios!A4</f>
        <v>Fecha Informe: 24 sep. 2024</v>
      </c>
    </row>
    <row r="27" spans="1:4">
      <c r="A27" s="414"/>
    </row>
  </sheetData>
  <sheetProtection algorithmName="SHA-512" hashValue="Dzs6ILk2Llqsl3whlHz/qkKoZtI4AsZiBcsS2qmFGvwGxTWqcKj3LDTu/zEaKxJeO5ElJqV87L6zt+oKws4syQ==" saltValue="XuavL/LMjV8bNnFe2MVJp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ICOD DE LOS VINOS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0.8</v>
      </c>
      <c r="D10" s="456">
        <f>IF(ISNUMBER((Datos!K10-Datos!U10)/Datos!U10),(Datos!K10-Datos!U10)/Datos!U10," - ")</f>
        <v>-0.4</v>
      </c>
      <c r="E10" s="456">
        <f>IF(ISNUMBER((Datos!L10-Datos!V10)/Datos!V10),(Datos!L10-Datos!V10)/Datos!V10," - ")</f>
        <v>0.46153846153846156</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-0.66666666666666674</v>
      </c>
      <c r="I10" s="456">
        <f>IF(ISNUMBER(((NºAsuntos!I10/NºAsuntos!G10)-Datos!BE10)/Datos!BE10),((NºAsuntos!I10/NºAsuntos!G10)-Datos!BE10)/Datos!BE10," - ")</f>
        <v>1.4358974358974357</v>
      </c>
      <c r="J10" s="461">
        <f>IF(ISNUMBER((('Resol  Asuntos'!D10/NºAsuntos!G10)-Datos!BF10)/Datos!BF10),(('Resol  Asuntos'!D10/NºAsuntos!G10)-Datos!BF10)/Datos!BF10," - ")</f>
        <v>0.66666666666666674</v>
      </c>
      <c r="K10" s="462">
        <f>IF(ISNUMBER((((NºAsuntos!C10+NºAsuntos!E10)/NºAsuntos!G10)-Datos!BG10)/Datos!BG10),(((NºAsuntos!C10+NºAsuntos!E10)/NºAsuntos!G10)-Datos!BG10)/Datos!BG10," - ")</f>
        <v>1.037037037037037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0.14320388349514562</v>
      </c>
      <c r="C12" s="456">
        <f>IF(ISNUMBER(
   IF(J_V="SI",(Datos!J12-Datos!T12)/Datos!T12,(Datos!J12+Datos!Z12-(Datos!T12+Datos!AH12))/(Datos!T12+Datos!AH12))
     ),IF(J_V="SI",(Datos!J12-Datos!T12)/Datos!T12,(Datos!J12+Datos!Z12-(Datos!T12+Datos!AH12))/(Datos!T12+Datos!AH12))," - ")</f>
        <v>0.55337690631808278</v>
      </c>
      <c r="D12" s="456">
        <f>IF(ISNUMBER(
   IF(J_V="SI",(Datos!K12-Datos!U12)/Datos!U12,(Datos!K12+Datos!AA12-(Datos!U12+Datos!AI12))/(Datos!U12+Datos!AI12))
     ),IF(J_V="SI",(Datos!K12-Datos!U12)/Datos!U12,(Datos!K12+Datos!AA12-(Datos!U12+Datos!AI12))/(Datos!U12+Datos!AI12))," - ")</f>
        <v>2.9279279279279279E-2</v>
      </c>
      <c r="E12" s="456">
        <f>IF(ISNUMBER(
   IF(J_V="SI",(Datos!L12-Datos!V12)/Datos!V12,(Datos!L12+Datos!AB12-(Datos!V12+Datos!AJ12))/(Datos!V12+Datos!AJ12))
     ),IF(J_V="SI",(Datos!L12-Datos!V12)/Datos!V12,(Datos!L12+Datos!AB12-(Datos!V12+Datos!AJ12))/(Datos!V12+Datos!AJ12))," - ")</f>
        <v>0.39315525876460766</v>
      </c>
      <c r="F12" s="456">
        <f>IF(ISNUMBER((Datos!M12-Datos!W12)/Datos!W12),(Datos!M12-Datos!W12)/Datos!W12," - ")</f>
        <v>-0.5</v>
      </c>
      <c r="G12" s="457">
        <f>IF(ISNUMBER((Datos!N12-Datos!X12)/Datos!X12),(Datos!N12-Datos!X12)/Datos!X12," - ")</f>
        <v>-0.23809523809523808</v>
      </c>
      <c r="H12" s="455">
        <f>IF(ISNUMBER(((NºAsuntos!G12/NºAsuntos!E12)-Datos!BD12)/Datos!BD12),((NºAsuntos!G12/NºAsuntos!E12)-Datos!BD12)/Datos!BD12," - ")</f>
        <v>-0.33739244152988895</v>
      </c>
      <c r="I12" s="456">
        <f>IF(ISNUMBER(((NºAsuntos!I12/NºAsuntos!G12)-Datos!BE12)/Datos!BE12),((NºAsuntos!I12/NºAsuntos!G12)-Datos!BE12)/Datos!BE12," - ")</f>
        <v>0.35352502164438898</v>
      </c>
      <c r="J12" s="461">
        <f>IF(ISNUMBER((('Resol  Asuntos'!D12/NºAsuntos!G12)-Datos!BF12)/Datos!BF12),(('Resol  Asuntos'!D12/NºAsuntos!G12)-Datos!BF12)/Datos!BF12," - ")</f>
        <v>-0.80106283213504226</v>
      </c>
      <c r="K12" s="462">
        <f>IF(ISNUMBER((((NºAsuntos!C12+NºAsuntos!E12)/NºAsuntos!G12)-Datos!BG12)/Datos!BG12),(((NºAsuntos!C12+NºAsuntos!E12)/NºAsuntos!G12)-Datos!BG12)/Datos!BG12," - ")</f>
        <v>0.21859762591739121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0.14171337069655723</v>
      </c>
      <c r="C13" s="855">
        <f>IF(ISNUMBER(
   IF(J_V="SI",(Datos!J13-Datos!T13)/Datos!T13,(Datos!J13+Datos!Z13-(Datos!T13+Datos!AH13))/(Datos!T13+Datos!AH13))
     ),IF(J_V="SI",(Datos!J13-Datos!T13)/Datos!T13,(Datos!J13+Datos!Z13-(Datos!T13+Datos!AH13))/(Datos!T13+Datos!AH13))," - ")</f>
        <v>0.55603448275862066</v>
      </c>
      <c r="D13" s="855">
        <f>IF(ISNUMBER(
   IF(J_V="SI",(Datos!K13-Datos!U13)/Datos!U13,(Datos!K13+Datos!AA13-(Datos!U13+Datos!AI13))/(Datos!U13+Datos!AI13))
     ),IF(J_V="SI",(Datos!K13-Datos!U13)/Datos!U13,(Datos!K13+Datos!AA13-(Datos!U13+Datos!AI13))/(Datos!U13+Datos!AI13))," - ")</f>
        <v>2.4498886414253896E-2</v>
      </c>
      <c r="E13" s="855">
        <f>IF(ISNUMBER(
   IF(J_V="SI",(Datos!L13-Datos!V13)/Datos!V13,(Datos!L13+Datos!AB13-(Datos!V13+Datos!AJ13))/(Datos!V13+Datos!AJ13))
     ),IF(J_V="SI",(Datos!L13-Datos!V13)/Datos!V13,(Datos!L13+Datos!AB13-(Datos!V13+Datos!AJ13))/(Datos!V13+Datos!AJ13))," - ")</f>
        <v>0.39388934764657307</v>
      </c>
      <c r="F13" s="856">
        <f>IF(ISNUMBER((Datos!M13-Datos!W13)/Datos!W13),(Datos!M13-Datos!W13)/Datos!W13," - ")</f>
        <v>-0.48314606741573035</v>
      </c>
      <c r="G13" s="857">
        <f>IF(ISNUMBER((Datos!N13-Datos!X13)/Datos!X13),(Datos!N13-Datos!X13)/Datos!X13," - ")</f>
        <v>-0.23809523809523808</v>
      </c>
      <c r="H13" s="857">
        <f>IF(ISNUMBER(((NºAsuntos!G13/NºAsuntos!E13)-Datos!BD13)/Datos!BD13),((NºAsuntos!G13/NºAsuntos!E13)-Datos!BD13)/Datos!BD13," - ")</f>
        <v>-0.34159628352324956</v>
      </c>
      <c r="I13" s="857">
        <f>IF(ISNUMBER(((NºAsuntos!I13/NºAsuntos!G13)-Datos!BE13)/Datos!BE13),((NºAsuntos!I13/NºAsuntos!G13)-Datos!BE13)/Datos!BE13," - ")</f>
        <v>0.3605572110724159</v>
      </c>
      <c r="J13" s="857">
        <f>IF(ISNUMBER((('Resol  Asuntos'!D13/NºAsuntos!G13)-Datos!BF13)/Datos!BF13),(('Resol  Asuntos'!D13/NºAsuntos!G13)-Datos!BF13)/Datos!BF13," - ")</f>
        <v>-0.78920187793427232</v>
      </c>
      <c r="K13" s="857">
        <f>IF(ISNUMBER((((NºAsuntos!C13+NºAsuntos!E13)/NºAsuntos!G13)-Datos!BG13)/Datos!BG13),(((NºAsuntos!C13+NºAsuntos!E13)/NºAsuntos!G13)-Datos!BG13)/Datos!BG13," - ")</f>
        <v>0.22395492271377443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0.43429487179487181</v>
      </c>
      <c r="C16" s="456">
        <f>IF(ISNUMBER(
   IF(D_I="SI",(Datos!J16-Datos!T16)/Datos!T16,(Datos!J16+Datos!AD16-(Datos!T16+Datos!AL16))/(Datos!T16+Datos!AL16))
     ),IF(D_I="SI",(Datos!J16-Datos!T16)/Datos!T16,(Datos!J16+Datos!AD16-(Datos!T16+Datos!AL16))/(Datos!T16+Datos!AL16))," - ")</f>
        <v>-3.5234899328859058E-2</v>
      </c>
      <c r="D16" s="456">
        <f>IF(ISNUMBER(
   IF(D_I="SI",(Datos!K16-Datos!U16)/Datos!U16,(Datos!K16+Datos!AE16-(Datos!U16+Datos!AM16))/(Datos!U16+Datos!AM16))
     ),IF(D_I="SI",(Datos!K16-Datos!U16)/Datos!U16,(Datos!K16+Datos!AE16-(Datos!U16+Datos!AM16))/(Datos!U16+Datos!AM16))," - ")</f>
        <v>6.1630218687872766E-2</v>
      </c>
      <c r="E16" s="456">
        <f>IF(ISNUMBER(
   IF(D_I="SI",(Datos!L16-Datos!V16)/Datos!V16,(Datos!L16+Datos!AF16-(Datos!V16+Datos!AN16))/(Datos!V16+Datos!AN16))
     ),IF(D_I="SI",(Datos!L16-Datos!V16)/Datos!V16,(Datos!L16+Datos!AF16-(Datos!V16+Datos!AN16))/(Datos!V16+Datos!AN16))," - ")</f>
        <v>0.354978354978355</v>
      </c>
      <c r="F16" s="456">
        <f>IF(ISNUMBER((Datos!M16-Datos!W16)/Datos!W16),(Datos!M16-Datos!W16)/Datos!W16," - ")</f>
        <v>-0.41333333333333333</v>
      </c>
      <c r="G16" s="457">
        <f>IF(ISNUMBER((Datos!N16-Datos!X16)/Datos!X16),(Datos!N16-Datos!X16)/Datos!X16," - ")</f>
        <v>0.15109890109890109</v>
      </c>
      <c r="H16" s="455">
        <f>IF(ISNUMBER(((NºAsuntos!G16/NºAsuntos!E16)-Datos!BD16)/Datos!BD16),((NºAsuntos!G16/NºAsuntos!E16)-Datos!BD16)/Datos!BD16," - ")</f>
        <v>0.1004028005877777</v>
      </c>
      <c r="I16" s="456">
        <f>IF(ISNUMBER(((NºAsuntos!I16/NºAsuntos!G16)-Datos!BE16)/Datos!BE16),((NºAsuntos!I16/NºAsuntos!G16)-Datos!BE16)/Datos!BE16," - ")</f>
        <v>0.27631856283541678</v>
      </c>
      <c r="J16" s="461">
        <f>IF(ISNUMBER((('Resol  Asuntos'!D16/NºAsuntos!G16)-Datos!BF16)/Datos!BF16),(('Resol  Asuntos'!D16/NºAsuntos!G16)-Datos!BF16)/Datos!BF16," - ")</f>
        <v>-0.4473907615480649</v>
      </c>
      <c r="K16" s="462">
        <f>IF(ISNUMBER((((NºAsuntos!C16+NºAsuntos!E16)/NºAsuntos!G16)-Datos!BG16)/Datos!BG16),(((NºAsuntos!C16+NºAsuntos!E16)/NºAsuntos!G16)-Datos!BG16)/Datos!BG16," - ")</f>
        <v>0.13496960766255295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0.32608695652173914</v>
      </c>
      <c r="C17" s="456">
        <f>IF(ISNUMBER(
   IF(D_I="SI",(Datos!J17-Datos!T17)/Datos!T17,(Datos!J17+Datos!AD17-(Datos!T17+Datos!AL17))/(Datos!T17+Datos!AL17))
     ),IF(D_I="SI",(Datos!J17-Datos!T17)/Datos!T17,(Datos!J17+Datos!AD17-(Datos!T17+Datos!AL17))/(Datos!T17+Datos!AL17))," - ")</f>
        <v>-0.2608695652173913</v>
      </c>
      <c r="D17" s="456">
        <f>IF(ISNUMBER(
   IF(D_I="SI",(Datos!K17-Datos!U17)/Datos!U17,(Datos!K17+Datos!AE17-(Datos!U17+Datos!AM17))/(Datos!U17+Datos!AM17))
     ),IF(D_I="SI",(Datos!K17-Datos!U17)/Datos!U17,(Datos!K17+Datos!AE17-(Datos!U17+Datos!AM17))/(Datos!U17+Datos!AM17))," - ")</f>
        <v>-0.15555555555555556</v>
      </c>
      <c r="E17" s="456">
        <f>IF(ISNUMBER(
   IF(D_I="SI",(Datos!L17-Datos!V17)/Datos!V17,(Datos!L17+Datos!AF17-(Datos!V17+Datos!AN17))/(Datos!V17+Datos!AN17))
     ),IF(D_I="SI",(Datos!L17-Datos!V17)/Datos!V17,(Datos!L17+Datos!AF17-(Datos!V17+Datos!AN17))/(Datos!V17+Datos!AN17))," - ")</f>
        <v>0.25531914893617019</v>
      </c>
      <c r="F17" s="456">
        <f>IF(ISNUMBER((Datos!M17-Datos!W17)/Datos!W17),(Datos!M17-Datos!W17)/Datos!W17," - ")</f>
        <v>-0.33333333333333331</v>
      </c>
      <c r="G17" s="457">
        <f>IF(ISNUMBER((Datos!N17-Datos!X17)/Datos!X17),(Datos!N17-Datos!X17)/Datos!X17," - ")</f>
        <v>0</v>
      </c>
      <c r="H17" s="455">
        <f>IF(ISNUMBER(((NºAsuntos!G17/NºAsuntos!E17)-Datos!BD17)/Datos!BD17),((NºAsuntos!G17/NºAsuntos!E17)-Datos!BD17)/Datos!BD17," - ")</f>
        <v>0.14248366013071898</v>
      </c>
      <c r="I17" s="456">
        <f>IF(ISNUMBER(((NºAsuntos!I17/NºAsuntos!G17)-Datos!BE17)/Datos!BE17),((NºAsuntos!I17/NºAsuntos!G17)-Datos!BE17)/Datos!BE17," - ")</f>
        <v>0.48656215005599091</v>
      </c>
      <c r="J17" s="461">
        <f>IF(ISNUMBER((('Resol  Asuntos'!D17/NºAsuntos!G17)-Datos!BF17)/Datos!BF17),(('Resol  Asuntos'!D17/NºAsuntos!G17)-Datos!BF17)/Datos!BF17," - ")</f>
        <v>-0.21052631578947378</v>
      </c>
      <c r="K17" s="462">
        <f>IF(ISNUMBER((((NºAsuntos!C17+NºAsuntos!E17)/NºAsuntos!G17)-Datos!BG17)/Datos!BG17),(((NºAsuntos!C17+NºAsuntos!E17)/NºAsuntos!G17)-Datos!BG17)/Datos!BG17," - ")</f>
        <v>0.22282608695652184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0.42686567164179107</v>
      </c>
      <c r="C18" s="855">
        <f>IF(ISNUMBER(
   IF(Criterios!B14="SI",(Datos!J18-Datos!T18)/Datos!T18,(Datos!J18+Datos!AD18-(Datos!T18+Datos!AL18))/(Datos!T18+Datos!AL18))
     ),IF(Criterios!B14="SI",(Datos!J18-Datos!T18)/Datos!T18,(Datos!J18+Datos!AD18-(Datos!T18+Datos!AL18))/(Datos!T18+Datos!AL18))," - ")</f>
        <v>-5.1401869158878503E-2</v>
      </c>
      <c r="D18" s="855">
        <f>IF(ISNUMBER(
   IF(Criterios!B14="SI",(Datos!K18-Datos!U18)/Datos!U18,(Datos!K18+Datos!AE18-(Datos!U18+Datos!AM18))/(Datos!U18+Datos!AM18))
     ),IF(Criterios!B14="SI",(Datos!K18-Datos!U18)/Datos!U18,(Datos!K18+Datos!AE18-(Datos!U18+Datos!AM18))/(Datos!U18+Datos!AM18))," - ")</f>
        <v>4.3795620437956206E-2</v>
      </c>
      <c r="E18" s="855">
        <f>IF(ISNUMBER(
   IF(Criterios!B14="SI",(Datos!L18-Datos!V18)/Datos!V18,(Datos!L18+Datos!AF18-(Datos!V18+Datos!AN18))/(Datos!V18+Datos!AN18))
     ),IF(Criterios!B14="SI",(Datos!L18-Datos!V18)/Datos!V18,(Datos!L18+Datos!AF18-(Datos!V18+Datos!AN18))/(Datos!V18+Datos!AN18))," - ")</f>
        <v>0.34864864864864864</v>
      </c>
      <c r="F18" s="856">
        <f>IF(ISNUMBER((Datos!M18-Datos!W18)/Datos!W18),(Datos!M18-Datos!W18)/Datos!W18," - ")</f>
        <v>-0.40476190476190477</v>
      </c>
      <c r="G18" s="857">
        <f>IF(ISNUMBER((Datos!N18-Datos!X18)/Datos!X18),(Datos!N18-Datos!X18)/Datos!X18," - ")</f>
        <v>0.1354679802955665</v>
      </c>
      <c r="H18" s="857">
        <f>IF(ISNUMBER(((NºAsuntos!G18/NºAsuntos!E18)-Datos!BD18)/Datos!BD18),((NºAsuntos!G18/NºAsuntos!E18)-Datos!BD18)/Datos!BD18," - ")</f>
        <v>0.10035597425479124</v>
      </c>
      <c r="I18" s="857">
        <f>IF(ISNUMBER(((NºAsuntos!I18/NºAsuntos!G18)-Datos!BE18)/Datos!BE18),((NºAsuntos!I18/NºAsuntos!G18)-Datos!BE18)/Datos!BE18," - ")</f>
        <v>0.29206199206199207</v>
      </c>
      <c r="J18" s="857">
        <f>IF(ISNUMBER((('Resol  Asuntos'!D18/NºAsuntos!G18)-Datos!BF18)/Datos!BF18),(('Resol  Asuntos'!D18/NºAsuntos!G18)-Datos!BF18)/Datos!BF18," - ")</f>
        <v>-0.42973692973692978</v>
      </c>
      <c r="K18" s="857">
        <f>IF(ISNUMBER((((NºAsuntos!C18+NºAsuntos!E18)/NºAsuntos!G18)-Datos!BG18)/Datos!BG18),(((NºAsuntos!C18+NºAsuntos!E18)/NºAsuntos!G18)-Datos!BG18)/Datos!BG18," - ")</f>
        <v>0.14278632952413423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0.2412714955706097</v>
      </c>
      <c r="C19" s="802">
        <f>IF(ISNUMBER(
   IF(J_V="SI",(Datos!J19-Datos!T19)/Datos!T19,(Datos!J19+Datos!Z19-(Datos!T19+Datos!AH19))/(Datos!T19+Datos!AH19))
     ),IF(J_V="SI",(Datos!J19-Datos!T19)/Datos!T19,(Datos!J19+Datos!Z19-(Datos!T19+Datos!AH19))/(Datos!T19+Datos!AH19))," - ")</f>
        <v>0.20343580470162748</v>
      </c>
      <c r="D19" s="802">
        <f>IF(ISNUMBER(
   IF(J_V="SI",(Datos!K19-Datos!U19)/Datos!U19,(Datos!K19+Datos!AA19-(Datos!U19+Datos!AI19))/(Datos!U19+Datos!AI19))
     ),IF(J_V="SI",(Datos!K19-Datos!U19)/Datos!U19,(Datos!K19+Datos!AA19-(Datos!U19+Datos!AI19))/(Datos!U19+Datos!AI19))," - ")</f>
        <v>3.5105315947843531E-2</v>
      </c>
      <c r="E19" s="802">
        <f>IF(ISNUMBER(
   IF(J_V="SI",(Datos!L19-Datos!V19)/Datos!V19,(Datos!L19+Datos!AB19-(Datos!V19+Datos!AJ19))/(Datos!V19+Datos!AJ19))
     ),IF(J_V="SI",(Datos!L19-Datos!V19)/Datos!V19,(Datos!L19+Datos!AB19-(Datos!V19+Datos!AJ19))/(Datos!V19+Datos!AJ19))," - ")</f>
        <v>0.37672988211173758</v>
      </c>
      <c r="F19" s="803">
        <f>IF(ISNUMBER((Datos!M19-Datos!W19)/Datos!W19),(Datos!M19-Datos!W19)/Datos!W19," - ")</f>
        <v>-0.44508670520231214</v>
      </c>
      <c r="G19" s="804">
        <f>IF(ISNUMBER((Datos!N19-Datos!X19)/Datos!X19),(Datos!N19-Datos!X19)/Datos!X19," - ")</f>
        <v>8.1168831168831161E-3</v>
      </c>
      <c r="H19" s="805">
        <f>IF(ISNUMBER((Tasas!B19-Datos!BD19)/Datos!BD19),(Tasas!B19-Datos!BD19)/Datos!BD19," - ")</f>
        <v>-0.13987492153394818</v>
      </c>
      <c r="I19" s="806">
        <f>IF(ISNUMBER((Tasas!C19-Datos!BE19)/Datos!BE19),(Tasas!C19-Datos!BE19)/Datos!BE19," - ")</f>
        <v>0.33003846169128143</v>
      </c>
      <c r="J19" s="807">
        <f>IF(ISNUMBER((Tasas!D19-Datos!BF19)/Datos!BF19),(Tasas!D19-Datos!BF19)/Datos!BF19," - ")</f>
        <v>-0.68773001331140871</v>
      </c>
      <c r="K19" s="807">
        <f>IF(ISNUMBER((Tasas!E19-Datos!BG19)/Datos!BG19),(Tasas!E19-Datos!BG19)/Datos!BG19," - ")</f>
        <v>0.18580978922416547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NqO5PEJL87SmTbhvIwP46deaubXRJjWfmdnNKIsL5X96Pwj62bj8jdo4mTY5mlaBaE96jmi+709R197x75VfA==" saltValue="h/FxC8oAwNYXE03STg2W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ICOD DE LOS VINOS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6.333333333333333</v>
      </c>
      <c r="D10" s="444">
        <f>IF(ISNUMBER('Resol  Asuntos'!D10/NºAsuntos!G10),'Resol  Asuntos'!D10/NºAsuntos!G10," - ")</f>
        <v>1</v>
      </c>
      <c r="E10" s="445">
        <f>IF(ISNUMBER((NºAsuntos!C10+NºAsuntos!E10)/NºAsuntos!G10),(NºAsuntos!C10+NºAsuntos!E10)/NºAsuntos!G10," - ")</f>
        <v>7.333333333333333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0.64095371669004209</v>
      </c>
      <c r="C12" s="443">
        <f>IF(ISNUMBER(NºAsuntos!I12/NºAsuntos!G12),NºAsuntos!I12/NºAsuntos!G12," - ")</f>
        <v>3.6520787746170678</v>
      </c>
      <c r="D12" s="444">
        <f>IF(ISNUMBER('Resol  Asuntos'!D12/NºAsuntos!G12),'Resol  Asuntos'!D12/NºAsuntos!G12," - ")</f>
        <v>9.4091903719912467E-2</v>
      </c>
      <c r="E12" s="445">
        <f>IF(ISNUMBER((NºAsuntos!C12+NºAsuntos!E12)/NºAsuntos!G12),(NºAsuntos!C12+NºAsuntos!E12)/NºAsuntos!G12," - ")</f>
        <v>4.6520787746170678</v>
      </c>
      <c r="G12" s="463"/>
    </row>
    <row r="13" spans="1:7" ht="14.25" thickTop="1" thickBot="1">
      <c r="A13" s="848" t="str">
        <f>Datos!A13</f>
        <v>TOTAL</v>
      </c>
      <c r="B13" s="858">
        <f>IF(ISNUMBER(NºAsuntos!G13/NºAsuntos!E13),NºAsuntos!G13/NºAsuntos!E13," - ")</f>
        <v>0.63711911357340723</v>
      </c>
      <c r="C13" s="859">
        <f>IF(ISNUMBER(NºAsuntos!I13/NºAsuntos!G13),NºAsuntos!I13/NºAsuntos!G13," - ")</f>
        <v>3.6695652173913045</v>
      </c>
      <c r="D13" s="860">
        <f>IF(ISNUMBER('Resol  Asuntos'!D13/NºAsuntos!G13),'Resol  Asuntos'!D13/NºAsuntos!G13," - ")</f>
        <v>0.1</v>
      </c>
      <c r="E13" s="861">
        <f>IF(ISNUMBER((NºAsuntos!C13+NºAsuntos!E13)/NºAsuntos!G13),(NºAsuntos!C13+NºAsuntos!E13)/NºAsuntos!G13," - ")</f>
        <v>4.6695652173913045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0.92869565217391303</v>
      </c>
      <c r="C16" s="443">
        <f>IF(ISNUMBER(NºAsuntos!I16/NºAsuntos!G16),NºAsuntos!I16/NºAsuntos!G16," - ")</f>
        <v>1.7584269662921348</v>
      </c>
      <c r="D16" s="444">
        <f>IF(ISNUMBER('Resol  Asuntos'!D16/NºAsuntos!G16),'Resol  Asuntos'!D16/NºAsuntos!G16," - ")</f>
        <v>8.2397003745318345E-2</v>
      </c>
      <c r="E16" s="445">
        <f>IF(ISNUMBER((NºAsuntos!C16+NºAsuntos!E16)/NºAsuntos!G16),(NºAsuntos!C16+NºAsuntos!E16)/NºAsuntos!G16," - ")</f>
        <v>2.7528089887640448</v>
      </c>
      <c r="G16" s="463"/>
    </row>
    <row r="17" spans="1:7" ht="13.5" thickBot="1">
      <c r="A17" s="402" t="str">
        <f>Datos!A17</f>
        <v>Jdos. Violencia contra la mujer</v>
      </c>
      <c r="B17" s="442">
        <f>IF(ISNUMBER(NºAsuntos!G17/NºAsuntos!E17),NºAsuntos!G17/NºAsuntos!E17," - ")</f>
        <v>1.1176470588235294</v>
      </c>
      <c r="C17" s="443">
        <f>IF(ISNUMBER(NºAsuntos!I17/NºAsuntos!G17),NºAsuntos!I17/NºAsuntos!G17," - ")</f>
        <v>1.5526315789473684</v>
      </c>
      <c r="D17" s="444">
        <f>IF(ISNUMBER('Resol  Asuntos'!D17/NºAsuntos!G17),'Resol  Asuntos'!D17/NºAsuntos!G17," - ")</f>
        <v>0.15789473684210525</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0.93924466338259438</v>
      </c>
      <c r="C18" s="859">
        <f>IF(ISNUMBER(NºAsuntos!I18/NºAsuntos!G18),NºAsuntos!I18/NºAsuntos!G18," - ")</f>
        <v>1.7447552447552448</v>
      </c>
      <c r="D18" s="862">
        <f>IF(ISNUMBER('Resol  Asuntos'!D18/NºAsuntos!G18),'Resol  Asuntos'!D18/NºAsuntos!G18," - ")</f>
        <v>8.7412587412587409E-2</v>
      </c>
      <c r="E18" s="861">
        <f>IF(ISNUMBER((NºAsuntos!C18+NºAsuntos!E18)/NºAsuntos!G18),(NºAsuntos!C18+NºAsuntos!E18)/NºAsuntos!G18," - ")</f>
        <v>2.7360139860139858</v>
      </c>
      <c r="G18" s="463"/>
    </row>
    <row r="19" spans="1:7" ht="15.75" customHeight="1" thickTop="1" thickBot="1">
      <c r="A19" s="793" t="str">
        <f>Datos!A19</f>
        <v>TOTAL JURISDICCIONES</v>
      </c>
      <c r="B19" s="808">
        <f>IF(ISNUMBER(NºAsuntos!G19/NºAsuntos!E19),NºAsuntos!G19/NºAsuntos!E19," - ")</f>
        <v>0.77535687453042823</v>
      </c>
      <c r="C19" s="809">
        <f>IF(ISNUMBER(NºAsuntos!I19/NºAsuntos!G19),NºAsuntos!I19/NºAsuntos!G19," - ")</f>
        <v>2.6027131782945738</v>
      </c>
      <c r="D19" s="810">
        <f>IF(ISNUMBER('Resol  Asuntos'!D19/NºAsuntos!G19),'Resol  Asuntos'!D19/NºAsuntos!G19," - ")</f>
        <v>9.3023255813953487E-2</v>
      </c>
      <c r="E19" s="811">
        <f>IF(ISNUMBER((NºAsuntos!C19+NºAsuntos!E19)/NºAsuntos!G19),(NºAsuntos!C19+NºAsuntos!E19)/NºAsuntos!G19," - ")</f>
        <v>3.5978682170542635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8qfP7U6tGRGIW+PebRfWG/GwGKwv5zbHyX9/YiMPD4m0/nVBVysQeBzLBeCiosMCs4JfysXF0PvbnPfOHp/Sw==" saltValue="s2WQi1ZALIPLQ8BjhHdJ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ICOD DE LOS VINOS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19</v>
      </c>
      <c r="AB10" s="334">
        <f>IF(ISNUMBER(Datos!R10),Datos!R10," - ")</f>
        <v>11</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18.999999999999996</v>
      </c>
      <c r="AN10" s="244">
        <f>IF(ISNUMBER('Resol  Asuntos'!D10/NºAsuntos!G10),'Resol  Asuntos'!D10/NºAsuntos!G10," - ")</f>
        <v>1</v>
      </c>
      <c r="AO10" s="245">
        <f>IF(ISNUMBER((NºAsuntos!C10+NºAsuntos!E10)/NºAsuntos!G10),(NºAsuntos!C10+NºAsuntos!E10)/NºAsuntos!G10," - ")</f>
        <v>7.333333333333333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56</v>
      </c>
      <c r="Y12" s="334">
        <f t="shared" si="0"/>
        <v>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v>
      </c>
      <c r="AJ12" s="229" t="str">
        <f>IF(ISNUMBER(Datos!BW12),Datos!BW12," - ")</f>
        <v xml:space="preserve"> - </v>
      </c>
      <c r="AK12" s="228" t="str">
        <f>IF(ISNUMBER(Datos!BX12),Datos!BX12," - ")</f>
        <v xml:space="preserve"> - </v>
      </c>
      <c r="AL12" s="243">
        <f>IF(ISNUMBER(NºAsuntos!G12/NºAsuntos!E12),NºAsuntos!G12/NºAsuntos!E12," - ")</f>
        <v>0.64095371669004209</v>
      </c>
      <c r="AM12" s="260">
        <f>IF(ISNUMBER(((NºAsuntos!I12/NºAsuntos!G12)*11)/factor_trimestre),((NºAsuntos!I12/NºAsuntos!G12)*11)/factor_trimestre," - ")</f>
        <v>10.956236323851202</v>
      </c>
      <c r="AN12" s="244">
        <f>IF(ISNUMBER('Resol  Asuntos'!D12/NºAsuntos!G12),'Resol  Asuntos'!D12/NºAsuntos!G12," - ")</f>
        <v>9.4091903719912467E-2</v>
      </c>
      <c r="AO12" s="245">
        <f>IF(ISNUMBER((NºAsuntos!C12+NºAsuntos!E12)/NºAsuntos!G12),(NºAsuntos!C12+NºAsuntos!E12)/NºAsuntos!G12," - ")</f>
        <v>4.6520787746170678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111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56</v>
      </c>
      <c r="Y13" s="868">
        <f t="shared" si="4"/>
        <v>59</v>
      </c>
      <c r="Z13" s="868">
        <f t="shared" si="4"/>
        <v>0</v>
      </c>
      <c r="AA13" s="868">
        <f t="shared" si="4"/>
        <v>19</v>
      </c>
      <c r="AB13" s="868">
        <f t="shared" si="4"/>
        <v>1789</v>
      </c>
      <c r="AC13" s="868">
        <f t="shared" si="4"/>
        <v>30</v>
      </c>
      <c r="AD13" s="868">
        <f t="shared" si="4"/>
        <v>0</v>
      </c>
      <c r="AE13" s="872">
        <f t="shared" si="4"/>
        <v>0</v>
      </c>
      <c r="AF13" s="865">
        <f t="shared" si="4"/>
        <v>0</v>
      </c>
      <c r="AG13" s="873">
        <f t="shared" si="4"/>
        <v>0</v>
      </c>
      <c r="AH13" s="870">
        <f t="shared" si="4"/>
        <v>0</v>
      </c>
      <c r="AI13" s="865">
        <f t="shared" si="4"/>
        <v>46</v>
      </c>
      <c r="AJ13" s="867">
        <f t="shared" si="4"/>
        <v>0</v>
      </c>
      <c r="AK13" s="870">
        <f>SUBTOTAL(9,AK9:AK12)</f>
        <v>0</v>
      </c>
      <c r="AL13" s="874">
        <f>IF(ISNUMBER(NºAsuntos!G13/NºAsuntos!E13),NºAsuntos!G13/NºAsuntos!E13," - ")</f>
        <v>0.63711911357340723</v>
      </c>
      <c r="AM13" s="874">
        <f>IF(ISNUMBER(((NºAsuntos!I13/NºAsuntos!G13)*11)/factor_trimestre),((NºAsuntos!I13/NºAsuntos!G13)*11)/factor_trimestre," - ")</f>
        <v>11.008695652173914</v>
      </c>
      <c r="AN13" s="875">
        <f>IF(ISNUMBER('Resol  Asuntos'!D13/NºAsuntos!G13),'Resol  Asuntos'!D13/NºAsuntos!G13," - ")</f>
        <v>0.1</v>
      </c>
      <c r="AO13" s="876">
        <f>IF(ISNUMBER((NºAsuntos!C13+NºAsuntos!E13)/NºAsuntos!G13),(NºAsuntos!C13+NºAsuntos!E13)/NºAsuntos!G13," - ")</f>
        <v>4.6695652173913045</v>
      </c>
      <c r="AP13" s="877" t="str">
        <f t="shared" si="2"/>
        <v xml:space="preserve"> - </v>
      </c>
      <c r="AQ13" s="877">
        <f>IF(ISNUMBER((H13-W13+K13)/(F13)),(H13-W13+K13)/(F13)," - ")</f>
        <v>-0.23076923076923078</v>
      </c>
      <c r="AR13" s="878">
        <f>IF(ISNUMBER((Datos!P13-Datos!Q13)/(Datos!R13-Datos!P13+Datos!Q13)),(Datos!P13-Datos!Q13)/(Datos!R13-Datos!P13+Datos!Q13)," - ")</f>
        <v>3.1718569780853516E-2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898</v>
      </c>
      <c r="G16" s="333">
        <f>IF(ISNUMBER(IF(D_I="SI",Datos!I16,Datos!I16+Datos!AC16)),IF(D_I="SI",Datos!I16,Datos!I16+Datos!AC16)," - ")</f>
        <v>895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534</v>
      </c>
      <c r="X16" s="226">
        <f>IF(ISNUMBER(Datos!Q16),Datos!Q16," - ")</f>
        <v>12</v>
      </c>
      <c r="Y16" s="334">
        <f t="shared" ref="Y16:Y17" si="7">SUM(W16:X16)</f>
        <v>546</v>
      </c>
      <c r="Z16" s="335" t="str">
        <f>IF(ISNUMBER(Datos!CC16),Datos!CC16," - ")</f>
        <v xml:space="preserve"> - </v>
      </c>
      <c r="AA16" s="332">
        <f>IF(ISNUMBER(IF(D_I="SI",Datos!L16,Datos!L16+Datos!AF16)),IF(D_I="SI",Datos!L16,Datos!L16+Datos!AF16)," - ")</f>
        <v>939</v>
      </c>
      <c r="AB16" s="334">
        <f>IF(ISNUMBER(Datos!R16),Datos!R16," - ")</f>
        <v>196</v>
      </c>
      <c r="AC16" s="334">
        <f t="shared" si="6"/>
        <v>1135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0.92869565217391303</v>
      </c>
      <c r="AM16" s="260">
        <f>IF(ISNUMBER(((NºAsuntos!I16/NºAsuntos!G16)*11)/factor_trimestre),((NºAsuntos!I16/NºAsuntos!G16)*11)/factor_trimestre," - ")</f>
        <v>5.2752808988764039</v>
      </c>
      <c r="AN16" s="244">
        <f>IF(ISNUMBER('Resol  Asuntos'!D16/NºAsuntos!G16),'Resol  Asuntos'!D16/NºAsuntos!G16," - ")</f>
        <v>8.2397003745318345E-2</v>
      </c>
      <c r="AO16" s="245">
        <f>IF(ISNUMBER((NºAsuntos!C16+NºAsuntos!E16)/NºAsuntos!G16),(NºAsuntos!C16+NºAsuntos!E16)/NºAsuntos!G16," - ")</f>
        <v>2.7528089887640448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59</v>
      </c>
      <c r="AB17" s="334">
        <f>IF(ISNUMBER(Datos!R17),Datos!R17," - ")</f>
        <v>8</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1.1176470588235294</v>
      </c>
      <c r="AM17" s="260">
        <f>IF(ISNUMBER(((NºAsuntos!I17/NºAsuntos!G17)*11)/factor_trimestre),((NºAsuntos!I17/NºAsuntos!G17)*11)/factor_trimestre," - ")</f>
        <v>4.6578947368421053</v>
      </c>
      <c r="AN17" s="244">
        <f>IF(ISNUMBER('Resol  Asuntos'!D17/NºAsuntos!G17),'Resol  Asuntos'!D17/NºAsuntos!G17," - ")</f>
        <v>0.15789473684210525</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898</v>
      </c>
      <c r="G18" s="866">
        <f>SUBTOTAL(9,G15:G17)</f>
        <v>956</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572</v>
      </c>
      <c r="X18" s="867">
        <f t="shared" si="11"/>
        <v>12</v>
      </c>
      <c r="Y18" s="868">
        <f t="shared" si="11"/>
        <v>584</v>
      </c>
      <c r="Z18" s="868">
        <f t="shared" si="11"/>
        <v>0</v>
      </c>
      <c r="AA18" s="868">
        <f t="shared" si="11"/>
        <v>998</v>
      </c>
      <c r="AB18" s="868">
        <f t="shared" si="11"/>
        <v>204</v>
      </c>
      <c r="AC18" s="868">
        <f t="shared" si="11"/>
        <v>1202</v>
      </c>
      <c r="AD18" s="868">
        <f t="shared" si="11"/>
        <v>0</v>
      </c>
      <c r="AE18" s="872">
        <f t="shared" si="11"/>
        <v>0</v>
      </c>
      <c r="AF18" s="865">
        <f t="shared" si="11"/>
        <v>0</v>
      </c>
      <c r="AG18" s="873">
        <f t="shared" si="11"/>
        <v>0</v>
      </c>
      <c r="AH18" s="870">
        <f t="shared" si="11"/>
        <v>0</v>
      </c>
      <c r="AI18" s="865">
        <f t="shared" si="11"/>
        <v>50</v>
      </c>
      <c r="AJ18" s="867">
        <f t="shared" si="11"/>
        <v>0</v>
      </c>
      <c r="AK18" s="870">
        <f t="shared" si="11"/>
        <v>0</v>
      </c>
      <c r="AL18" s="874">
        <f>IF(ISNUMBER(NºAsuntos!G18/NºAsuntos!E18),NºAsuntos!G18/NºAsuntos!E18," - ")</f>
        <v>0.93924466338259438</v>
      </c>
      <c r="AM18" s="874">
        <f>IF(ISNUMBER(((NºAsuntos!I18/NºAsuntos!G18)*11)/factor_trimestre),((NºAsuntos!I18/NºAsuntos!G18)*11)/factor_trimestre," - ")</f>
        <v>5.234265734265735</v>
      </c>
      <c r="AN18" s="875">
        <f>IF(ISNUMBER('Resol  Asuntos'!D18/NºAsuntos!G18),'Resol  Asuntos'!D18/NºAsuntos!G18," - ")</f>
        <v>8.7412587412587409E-2</v>
      </c>
      <c r="AO18" s="876">
        <f>IF(ISNUMBER((NºAsuntos!C18+NºAsuntos!E18)/NºAsuntos!G18),(NºAsuntos!C18+NºAsuntos!E18)/NºAsuntos!G18," - ")</f>
        <v>2.7360139860139858</v>
      </c>
      <c r="AP18" s="877" t="str">
        <f t="shared" si="2"/>
        <v xml:space="preserve"> - </v>
      </c>
      <c r="AQ18" s="877">
        <f>IF(ISNUMBER((H18-W18+K18)/(F18)),(H18-W18+K18)/(F18)," - ")</f>
        <v>-0.63697104677060135</v>
      </c>
      <c r="AR18" s="878">
        <f>IF(ISNUMBER((Datos!P18-Datos!Q18)/(Datos!R18-Datos!P18+Datos!Q18)),(Datos!P18-Datos!Q18)/(Datos!R18-Datos!P18+Datos!Q18)," - ")</f>
        <v>-3.3175355450236969E-2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911</v>
      </c>
      <c r="G19" s="821">
        <f t="shared" si="13"/>
        <v>969</v>
      </c>
      <c r="H19" s="820">
        <f t="shared" si="13"/>
        <v>0</v>
      </c>
      <c r="I19" s="822">
        <f t="shared" si="13"/>
        <v>0</v>
      </c>
      <c r="J19" s="822">
        <f t="shared" si="13"/>
        <v>0</v>
      </c>
      <c r="K19" s="881">
        <f t="shared" si="13"/>
        <v>0</v>
      </c>
      <c r="L19" s="822">
        <f t="shared" si="13"/>
        <v>116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575</v>
      </c>
      <c r="X19" s="821">
        <f t="shared" si="14"/>
        <v>68</v>
      </c>
      <c r="Y19" s="828">
        <f t="shared" si="14"/>
        <v>643</v>
      </c>
      <c r="Z19" s="828">
        <f t="shared" si="14"/>
        <v>0</v>
      </c>
      <c r="AA19" s="828">
        <f t="shared" si="14"/>
        <v>1017</v>
      </c>
      <c r="AB19" s="828">
        <f t="shared" si="14"/>
        <v>1993</v>
      </c>
      <c r="AC19" s="828">
        <f t="shared" si="14"/>
        <v>1232</v>
      </c>
      <c r="AD19" s="828">
        <f t="shared" si="14"/>
        <v>0</v>
      </c>
      <c r="AE19" s="830">
        <f t="shared" si="14"/>
        <v>0</v>
      </c>
      <c r="AF19" s="831">
        <f t="shared" si="14"/>
        <v>0</v>
      </c>
      <c r="AG19" s="832">
        <f t="shared" si="14"/>
        <v>0</v>
      </c>
      <c r="AH19" s="830">
        <f t="shared" si="14"/>
        <v>0</v>
      </c>
      <c r="AI19" s="820">
        <f t="shared" si="14"/>
        <v>96</v>
      </c>
      <c r="AJ19" s="820">
        <f t="shared" si="14"/>
        <v>0</v>
      </c>
      <c r="AK19" s="830">
        <f t="shared" si="14"/>
        <v>0</v>
      </c>
      <c r="AL19" s="884">
        <f>IF(ISNUMBER(NºAsuntos!G19/NºAsuntos!E19),NºAsuntos!G19/NºAsuntos!E19," - ")</f>
        <v>0.77535687453042823</v>
      </c>
      <c r="AM19" s="885">
        <f>IF(ISNUMBER(((NºAsuntos!I19/NºAsuntos!G19)*11)/factor_trimestre),((NºAsuntos!I19/NºAsuntos!G19)*11)/factor_trimestre," - ")</f>
        <v>7.8081395348837219</v>
      </c>
      <c r="AN19" s="885">
        <f>IF(ISNUMBER('Resol  Asuntos'!D19/NºAsuntos!G19),'Resol  Asuntos'!D19/NºAsuntos!G19," - ")</f>
        <v>9.3023255813953487E-2</v>
      </c>
      <c r="AO19" s="886">
        <f>IF(ISNUMBER((NºAsuntos!C19+NºAsuntos!E19)/NºAsuntos!G19),(NºAsuntos!C19+NºAsuntos!E19)/NºAsuntos!G19," - ")</f>
        <v>3.5978682170542635</v>
      </c>
      <c r="AP19" s="887" t="str">
        <f t="shared" si="2"/>
        <v xml:space="preserve"> - </v>
      </c>
      <c r="AQ19" s="888">
        <f>IF(OR(ISNUMBER(FIND("01",Criterios!A8,1)),ISNUMBER(FIND("02",Criterios!A8,1)),ISNUMBER(FIND("03",Criterios!A8,1)),ISNUMBER(FIND("04",Criterios!A8,1))),(I19-W19+K19)/(F19-K19),(H19-W19+K19)/(F19-K19))</f>
        <v>-0.63117453347969266</v>
      </c>
      <c r="AR19" s="889">
        <f>IF(ISNUMBER((Datos!P19-Datos!Q19)/(Datos!R19-Datos!P19+Datos!Q19)),(Datos!P19-Datos!Q19)/(Datos!R19-Datos!P19+Datos!Q19)," - ")</f>
        <v>2.4678663239074552E-2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510.95498823281878</v>
      </c>
      <c r="G21" s="253">
        <f>IF(ISNUMBER(STDEV(G8:G18)),STDEV(G8:G18),"-")</f>
        <v>491.89714372010741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295.50888311521197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21.456933611306159</v>
      </c>
      <c r="AJ21" s="252">
        <f t="shared" si="18"/>
        <v>0</v>
      </c>
      <c r="AK21" s="254">
        <f t="shared" si="18"/>
        <v>0</v>
      </c>
      <c r="AL21" s="249">
        <f t="shared" si="18"/>
        <v>0.2826964373269133</v>
      </c>
      <c r="AM21" s="250">
        <f t="shared" si="18"/>
        <v>5.5499918526444523</v>
      </c>
      <c r="AN21" s="250">
        <f t="shared" si="18"/>
        <v>0.36667068761663624</v>
      </c>
      <c r="AO21" s="251">
        <f t="shared" si="18"/>
        <v>1.8611126606098718</v>
      </c>
      <c r="AP21" s="291" t="str">
        <f t="shared" si="18"/>
        <v>-</v>
      </c>
      <c r="AQ21" s="292">
        <f t="shared" si="18"/>
        <v>0.28722805862485928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zE/jRmROFBgWmXyG8WE1eNkBTSfoNWmPfsyBJgazIG0kKde9ON0G6c9Xf2px8A0WCQJw6ye6fjtfEUypNX8UYQ==" saltValue="QniT14s/Ab5m1ApKA61kP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ICOD DE LOS VINOS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0.8</v>
      </c>
      <c r="F10" s="348">
        <f>IF(ISNUMBER((Datos!K10-Datos!U10)/Datos!U10),(Datos!K10-Datos!U10)/Datos!U10," - ")</f>
        <v>-0.4</v>
      </c>
      <c r="G10" s="349">
        <f>IF(ISNUMBER((Datos!L10-Datos!V10)/Datos!V10),(Datos!L10-Datos!V10)/Datos!V10," - ")</f>
        <v>0.46153846153846156</v>
      </c>
      <c r="H10" s="230">
        <f>IF(ISNUMBER((Datos!M10-Datos!W10)/Datos!W10),(Datos!M10-Datos!W10)/Datos!W10," - ")</f>
        <v>0</v>
      </c>
      <c r="I10" s="350">
        <f>IF(ISNUMBER((Tasas!C10-Datos!BE10)/Datos!BE10),(Tasas!C10-Datos!BE10)/Datos!BE10," - ")</f>
        <v>1.4358974358974357</v>
      </c>
      <c r="J10" s="349">
        <f>IF(ISNUMBER((Tasas!D10-Datos!BF10)/Datos!BF10),(Tasas!D10-Datos!BF10)/Datos!BF10," - ")</f>
        <v>0.66666666666666674</v>
      </c>
      <c r="K10" s="351">
        <f>IF(ISNUMBER((Tasas!E10-Datos!BG10)/Datos!BG10),(Tasas!E10-Datos!BG10)/Datos!BG10," - ")</f>
        <v>1.037037037037037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0.35352502164438898</v>
      </c>
      <c r="J12" s="349">
        <f>IF(ISNUMBER((Tasas!D12-Datos!BF12)/Datos!BF12),(Tasas!D12-Datos!BF12)/Datos!BF12," - ")</f>
        <v>-0.80106283213504226</v>
      </c>
      <c r="K12" s="351">
        <f>IF(ISNUMBER((Tasas!E12-Datos!BG12)/Datos!BG12),(Tasas!E12-Datos!BG12)/Datos!BG12," - ")</f>
        <v>0.21859762591739121</v>
      </c>
      <c r="M12" t="e">
        <f>IF(Monitorios="SI",Datos!CE12,0)</f>
        <v>#REF!</v>
      </c>
      <c r="N12" t="e">
        <f>IF(Monitorios="SI",Datos!CF12,0)</f>
        <v>#REF!</v>
      </c>
      <c r="O12" t="e">
        <f>IF(Monitorios="SI",Datos!CG12,0)</f>
        <v>#REF!</v>
      </c>
      <c r="P12" t="e">
        <f>IF(Monitorios="SI",Datos!CH12,0)</f>
        <v>#REF!</v>
      </c>
      <c r="Q12">
        <f>IF(J_V="SI",0,Datos!AG12)</f>
        <v>94</v>
      </c>
      <c r="R12">
        <f>IF(J_V="SI",0,Datos!AH12)</f>
        <v>19</v>
      </c>
      <c r="S12">
        <f>IF(J_V="SI",0,Datos!AI12)</f>
        <v>28</v>
      </c>
      <c r="T12">
        <f>IF(J_V="SI",0,Datos!AJ12)</f>
        <v>118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-0.48314606741573035</v>
      </c>
      <c r="I13" s="357">
        <f>IF(ISNUMBER((Tasas!C13-Datos!BE13)/Datos!BE13),(Tasas!C13-Datos!BE13)/Datos!BE13," - ")</f>
        <v>0.3605572110724159</v>
      </c>
      <c r="J13" s="355">
        <f>IF(ISNUMBER((Tasas!D13-Datos!BF13)/Datos!BF13),(Tasas!D13-Datos!BF13)/Datos!BF13," - ")</f>
        <v>-0.78920187793427232</v>
      </c>
      <c r="K13" s="358">
        <f>IF(ISNUMBER((Tasas!E13-Datos!BG13)/Datos!BG13),(Tasas!E13-Datos!BG13)/Datos!BG13," - ")</f>
        <v>0.22395492271377443</v>
      </c>
      <c r="M13" t="e">
        <f>IF(Monitorios="SI",Datos!CE13,0)</f>
        <v>#REF!</v>
      </c>
      <c r="N13" t="e">
        <f>IF(Monitorios="SI",Datos!CF13,0)</f>
        <v>#REF!</v>
      </c>
      <c r="O13" t="e">
        <f>IF(Monitorios="SI",Datos!CG13,0)</f>
        <v>#REF!</v>
      </c>
      <c r="P13" t="e">
        <f>IF(Monitorios="SI",Datos!CH13,0)</f>
        <v>#REF!</v>
      </c>
      <c r="Q13">
        <f>IF(J_V="SI",0,Datos!AG13)</f>
        <v>94</v>
      </c>
      <c r="R13">
        <f>IF(J_V="SI",0,Datos!AH13)</f>
        <v>19</v>
      </c>
      <c r="S13">
        <f>IF(J_V="SI",0,Datos!AI13)</f>
        <v>28</v>
      </c>
      <c r="T13">
        <f>IF(J_V="SI",0,Datos!AJ13)</f>
        <v>118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0.43429487179487181</v>
      </c>
      <c r="E16" s="348">
        <f>IF(ISNUMBER(
   IF(D_I="SI",(Datos!J16-Datos!T16)/Datos!T16,(Datos!J16+Datos!AD16-(Datos!T16+Datos!AL16))/(Datos!T16+Datos!AL16))
     ),IF(D_I="SI",(Datos!J16-Datos!T16)/Datos!T16,(Datos!J16+Datos!AD16-(Datos!T16+Datos!AL16))/(Datos!T16+Datos!AL16))," - ")</f>
        <v>-3.5234899328859058E-2</v>
      </c>
      <c r="F16" s="348">
        <f>IF(ISNUMBER(
   IF(D_I="SI",(Datos!K16-Datos!U16)/Datos!U16,(Datos!K16+Datos!AE16-(Datos!U16+Datos!AM16))/(Datos!U16+Datos!AM16))
     ),IF(D_I="SI",(Datos!K16-Datos!U16)/Datos!U16,(Datos!K16+Datos!AE16-(Datos!U16+Datos!AM16))/(Datos!U16+Datos!AM16))," - ")</f>
        <v>6.1630218687872766E-2</v>
      </c>
      <c r="G16" s="349">
        <f>IF(ISNUMBER(
   IF(D_I="SI",(Datos!L16-Datos!V16)/Datos!V16,(Datos!L16+Datos!AF16-(Datos!V16+Datos!AN16))/(Datos!V16+Datos!AN16))
     ),IF(D_I="SI",(Datos!L16-Datos!V16)/Datos!V16,(Datos!L16+Datos!AF16-(Datos!V16+Datos!AN16))/(Datos!V16+Datos!AN16))," - ")</f>
        <v>0.354978354978355</v>
      </c>
      <c r="H16" s="230">
        <f>IF(ISNUMBER((Datos!M16-Datos!W16)/Datos!W16),(Datos!M16-Datos!W16)/Datos!W16," - ")</f>
        <v>-0.41333333333333333</v>
      </c>
      <c r="I16" s="350">
        <f>IF(ISNUMBER((Tasas!C16-Datos!BE16)/Datos!BE16),(Tasas!C16-Datos!BE16)/Datos!BE16," - ")</f>
        <v>0.27631856283541678</v>
      </c>
      <c r="J16" s="349">
        <f>IF(ISNUMBER((Tasas!D16-Datos!BF16)/Datos!BF16),(Tasas!D16-Datos!BF16)/Datos!BF16," - ")</f>
        <v>-0.4473907615480649</v>
      </c>
      <c r="K16" s="351">
        <f>IF(ISNUMBER((Tasas!E16-Datos!BG16)/Datos!BG16),(Tasas!E16-Datos!BG16)/Datos!BG16," - ")</f>
        <v>0.13496960766255295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0.32608695652173914</v>
      </c>
      <c r="E17" s="348">
        <f>IF(ISNUMBER(
   IF(D_I="SI",(Datos!J17-Datos!T17)/Datos!T17,(Datos!J17+Datos!AD17-(Datos!T17+Datos!AL17))/(Datos!T17+Datos!AL17))
     ),IF(D_I="SI",(Datos!J17-Datos!T17)/Datos!T17,(Datos!J17+Datos!AD17-(Datos!T17+Datos!AL17))/(Datos!T17+Datos!AL17))," - ")</f>
        <v>-0.2608695652173913</v>
      </c>
      <c r="F17" s="348">
        <f>IF(ISNUMBER(
   IF(D_I="SI",(Datos!K17-Datos!U17)/Datos!U17,(Datos!K17+Datos!AE17-(Datos!U17+Datos!AM17))/(Datos!U17+Datos!AM17))
     ),IF(D_I="SI",(Datos!K17-Datos!U17)/Datos!U17,(Datos!K17+Datos!AE17-(Datos!U17+Datos!AM17))/(Datos!U17+Datos!AM17))," - ")</f>
        <v>-0.15555555555555556</v>
      </c>
      <c r="G17" s="349">
        <f>IF(ISNUMBER(
   IF(D_I="SI",(Datos!L17-Datos!V17)/Datos!V17,(Datos!L17+Datos!AF17-(Datos!V17+Datos!AN17))/(Datos!V17+Datos!AN17))
     ),IF(D_I="SI",(Datos!L17-Datos!V17)/Datos!V17,(Datos!L17+Datos!AF17-(Datos!V17+Datos!AN17))/(Datos!V17+Datos!AN17))," - ")</f>
        <v>0.25531914893617019</v>
      </c>
      <c r="H17" s="230">
        <f>IF(ISNUMBER((Datos!M17-Datos!W17)/Datos!W17),(Datos!M17-Datos!W17)/Datos!W17," - ")</f>
        <v>-0.33333333333333331</v>
      </c>
      <c r="I17" s="350">
        <f>IF(ISNUMBER((Tasas!C17-Datos!BE17)/Datos!BE17),(Tasas!C17-Datos!BE17)/Datos!BE17," - ")</f>
        <v>0.48656215005599091</v>
      </c>
      <c r="J17" s="349">
        <f>IF(ISNUMBER((Tasas!D17-Datos!BF17)/Datos!BF17),(Tasas!D17-Datos!BF17)/Datos!BF17," - ")</f>
        <v>-0.21052631578947378</v>
      </c>
      <c r="K17" s="351">
        <f>IF(ISNUMBER((Tasas!E17-Datos!BG17)/Datos!BG17),(Tasas!E17-Datos!BG17)/Datos!BG17," - ")</f>
        <v>0.22282608695652184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0.42686567164179107</v>
      </c>
      <c r="E18" s="354">
        <f>IF(ISNUMBER(
   IF(D_I="SI",(Datos!J18-Datos!T18)/Datos!T18,(Datos!J18+Datos!AD18-(Datos!T18+Datos!AL18))/(Datos!T18+Datos!AL18))
     ),IF(D_I="SI",(Datos!J18-Datos!T18)/Datos!T18,(Datos!J18+Datos!AD18-(Datos!T18+Datos!AL18))/(Datos!T18+Datos!AL18))," - ")</f>
        <v>-5.1401869158878503E-2</v>
      </c>
      <c r="F18" s="354">
        <f>IF(ISNUMBER(
   IF(D_I="SI",(Datos!K18-Datos!U18)/Datos!U18,(Datos!K18+Datos!AE18-(Datos!U18+Datos!AM18))/(Datos!U18+Datos!AM18))
     ),IF(D_I="SI",(Datos!K18-Datos!U18)/Datos!U18,(Datos!K18+Datos!AE18-(Datos!U18+Datos!AM18))/(Datos!U18+Datos!AM18))," - ")</f>
        <v>4.3795620437956206E-2</v>
      </c>
      <c r="G18" s="355">
        <f>IF(ISNUMBER(
   IF(D_I="SI",(Datos!L18-Datos!V18)/Datos!V18,(Datos!L18+Datos!AF18-(Datos!V18+Datos!AN18))/(Datos!V18+Datos!AN18))
     ),IF(D_I="SI",(Datos!L18-Datos!V18)/Datos!V18,(Datos!L18+Datos!AF18-(Datos!V18+Datos!AN18))/(Datos!V18+Datos!AN18))," - ")</f>
        <v>0.34864864864864864</v>
      </c>
      <c r="H18" s="356">
        <f>IF(ISNUMBER((Datos!M18-Datos!W18)/Datos!W18),(Datos!M18-Datos!W18)/Datos!W18," - ")</f>
        <v>-0.40476190476190477</v>
      </c>
      <c r="I18" s="357">
        <f>IF(ISNUMBER((Tasas!C18-Datos!BE18)/Datos!BE18),(Tasas!C18-Datos!BE18)/Datos!BE18," - ")</f>
        <v>0.29206199206199207</v>
      </c>
      <c r="J18" s="355">
        <f>IF(ISNUMBER((Tasas!D18-Datos!BF18)/Datos!BF18),(Tasas!D18-Datos!BF18)/Datos!BF18," - ")</f>
        <v>-0.42973692973692978</v>
      </c>
      <c r="K18" s="358">
        <f>IF(ISNUMBER((Tasas!E18-Datos!BG18)/Datos!BG18),(Tasas!E18-Datos!BG18)/Datos!BG18," - ")</f>
        <v>0.14278632952413423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0.2412714955706097</v>
      </c>
      <c r="E19" s="363">
        <f>IF(ISNUMBER(
   IF(J_V="SI",(Datos!J19-Datos!T19)/Datos!T19,(Datos!J19+Datos!Z19-(Datos!T19+Datos!AH19))/(Datos!T19+Datos!AH19))
     ),IF(J_V="SI",(Datos!J19-Datos!T19)/Datos!T19,(Datos!J19+Datos!Z19-(Datos!T19+Datos!AH19))/(Datos!T19+Datos!AH19))," - ")</f>
        <v>0.20343580470162748</v>
      </c>
      <c r="F19" s="363">
        <f>IF(ISNUMBER(
   IF(J_V="SI",(Datos!K19-Datos!U19)/Datos!U19,(Datos!K19+Datos!AA19-(Datos!U19+Datos!AI19))/(Datos!U19+Datos!AI19))
     ),IF(J_V="SI",(Datos!K19-Datos!U19)/Datos!U19,(Datos!K19+Datos!AA19-(Datos!U19+Datos!AI19))/(Datos!U19+Datos!AI19))," - ")</f>
        <v>3.5105315947843531E-2</v>
      </c>
      <c r="G19" s="364">
        <f>IF(ISNUMBER(
   IF(J_V="SI",(Datos!L19-Datos!V19)/Datos!V19,(Datos!L19+Datos!AB19-(Datos!V19+Datos!AJ19))/(Datos!V19+Datos!AJ19))
     ),IF(J_V="SI",(Datos!L19-Datos!V19)/Datos!V19,(Datos!L19+Datos!AB19-(Datos!V19+Datos!AJ19))/(Datos!V19+Datos!AJ19))," - ")</f>
        <v>0.37672988211173758</v>
      </c>
      <c r="H19" s="365">
        <f>IF(ISNUMBER((Datos!M19-Datos!W19)/Datos!W19),(Datos!M19-Datos!W19)/Datos!W19," - ")</f>
        <v>-0.44508670520231214</v>
      </c>
      <c r="I19" s="362">
        <f>IF(ISNUMBER((Tasas!C19-Datos!BE19)/Datos!BE19),(Tasas!C19-Datos!BE19)/Datos!BE19," - ")</f>
        <v>0.33003846169128143</v>
      </c>
      <c r="J19" s="363">
        <f>IF(ISNUMBER((Tasas!D19-Datos!BF19)/Datos!BF19),(Tasas!D19-Datos!BF19)/Datos!BF19," - ")</f>
        <v>-0.68773001331140871</v>
      </c>
      <c r="K19" s="364">
        <f>IF(ISNUMBER((Tasas!E19-Datos!BG19)/Datos!BG19),(Tasas!E19-Datos!BG19)/Datos!BG19," - ")</f>
        <v>0.18580978922416547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0.203936169726186</v>
      </c>
      <c r="E21" s="278">
        <f t="shared" si="1"/>
        <v>0.46930762861588937</v>
      </c>
      <c r="F21" s="278">
        <f t="shared" si="1"/>
        <v>0.21545276410850217</v>
      </c>
      <c r="G21" s="279">
        <f t="shared" si="1"/>
        <v>8.4314880607518058E-2</v>
      </c>
      <c r="H21" s="285">
        <f t="shared" si="1"/>
        <v>0.18429128904813313</v>
      </c>
      <c r="I21" s="277">
        <f t="shared" si="1"/>
        <v>0.44794118682653722</v>
      </c>
      <c r="J21" s="278">
        <f t="shared" si="1"/>
        <v>0.54110077184465555</v>
      </c>
      <c r="K21" s="279">
        <f t="shared" si="1"/>
        <v>0.34874904277634072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ZUssV2VD03AY0WB5wISRebExuHLG7cvwrL/+hK51n2Mcz+3M5g/m7UtFl9n7JZY6fdGu0Hufu/zzEWY3xz1Cw==" saltValue="Nt9JkzBVFWvBVulbMWAgK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